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4"/>
  </bookViews>
  <sheets>
    <sheet name="График" sheetId="1" r:id="rId1"/>
    <sheet name="Расчет" sheetId="2" r:id="rId2"/>
    <sheet name="Проводки" sheetId="3" r:id="rId3"/>
    <sheet name="ОСВ" sheetId="4" r:id="rId4"/>
    <sheet name="ОСВ-2" sheetId="5" r:id="rId5"/>
  </sheets>
  <definedNames/>
  <calcPr fullCalcOnLoad="1"/>
</workbook>
</file>

<file path=xl/sharedStrings.xml><?xml version="1.0" encoding="utf-8"?>
<sst xmlns="http://schemas.openxmlformats.org/spreadsheetml/2006/main" count="392" uniqueCount="110">
  <si>
    <t>Дата</t>
  </si>
  <si>
    <t>Описание</t>
  </si>
  <si>
    <t>Денежный поток</t>
  </si>
  <si>
    <t>ОФА</t>
  </si>
  <si>
    <t>Итого</t>
  </si>
  <si>
    <t>НДС</t>
  </si>
  <si>
    <t>Нетто</t>
  </si>
  <si>
    <t>Погашение ОФА</t>
  </si>
  <si>
    <t>% Расход</t>
  </si>
  <si>
    <t>*</t>
  </si>
  <si>
    <t>Аванс</t>
  </si>
  <si>
    <t>Платеж</t>
  </si>
  <si>
    <t>Выкуп</t>
  </si>
  <si>
    <t>Эффективная процентная ставка</t>
  </si>
  <si>
    <t>Всего платежей по договору</t>
  </si>
  <si>
    <t>Начисление %</t>
  </si>
  <si>
    <t>Отчетная дата</t>
  </si>
  <si>
    <t>Первоначальная стоимсть</t>
  </si>
  <si>
    <t>Накопленная амортизация</t>
  </si>
  <si>
    <t>Затраты</t>
  </si>
  <si>
    <t>№</t>
  </si>
  <si>
    <t>Описание операции</t>
  </si>
  <si>
    <t>ДТ</t>
  </si>
  <si>
    <t>КТ</t>
  </si>
  <si>
    <t>№ счета</t>
  </si>
  <si>
    <t>Название счета</t>
  </si>
  <si>
    <t>Сумма</t>
  </si>
  <si>
    <t>Август</t>
  </si>
  <si>
    <t>Расчетные счета в кредитных организациях</t>
  </si>
  <si>
    <t>Расчеты с поставщиками, подрядчиками</t>
  </si>
  <si>
    <t>Вложения в сооружение (строительство), создание (изготовление) и приобретение основных средств</t>
  </si>
  <si>
    <t>Ввод ОС в эксплуатацию (автомобиль)</t>
  </si>
  <si>
    <t>Основные средства</t>
  </si>
  <si>
    <t>Налог на добавленную стоимость, уплаченный</t>
  </si>
  <si>
    <t>Выбытие (реализация) имущества</t>
  </si>
  <si>
    <t>Вложения в операции финансовой аренды</t>
  </si>
  <si>
    <t>Начисления на конец каждого месяца в течение срока лизинга</t>
  </si>
  <si>
    <t>Налог на добавленную стоимость, полученный</t>
  </si>
  <si>
    <t>Расчеты по налогам и сборам, кроме налога на прибыль</t>
  </si>
  <si>
    <t>Сентябрь</t>
  </si>
  <si>
    <t>Начисление % и выделение текущего платежа в дату платежа по графику</t>
  </si>
  <si>
    <t>Отражение НДС по текущему платежу (за вычетом начисл НДС на % за август)</t>
  </si>
  <si>
    <t>Отражение расчетов с бюджетом по НДС</t>
  </si>
  <si>
    <t>Прекращение признания договора фин аренды</t>
  </si>
  <si>
    <t>вариант 1 при его досрочном расторжении (30/09/2016):</t>
  </si>
  <si>
    <t>Отражение финансового результата по прекращению признания договора</t>
  </si>
  <si>
    <t>вариант 2 при его окончании:</t>
  </si>
  <si>
    <t>Отражение выкупного платежа</t>
  </si>
  <si>
    <t>Отражение НДС по выкупному платежу</t>
  </si>
  <si>
    <t>Оплата аванса Арендодателю</t>
  </si>
  <si>
    <t>Оплата поставщику за первоначальные прямые затраты (ППЗ)</t>
  </si>
  <si>
    <t>Оплата аванса и ППЗ</t>
  </si>
  <si>
    <t xml:space="preserve">Имущество, полученное в финансовую аренду
</t>
  </si>
  <si>
    <t>Выделение НДС по авансу</t>
  </si>
  <si>
    <t>Признание Права пользования в сумме уплаченного аванса</t>
  </si>
  <si>
    <t>Признание Права пользования в сумме ППЗ</t>
  </si>
  <si>
    <t>Амортизация основных средств, полученных в финансовую аренду</t>
  </si>
  <si>
    <t>За Август</t>
  </si>
  <si>
    <t>Признак</t>
  </si>
  <si>
    <t>Сальдо на начало</t>
  </si>
  <si>
    <t>Обороты за период</t>
  </si>
  <si>
    <t>Сальдо на конец</t>
  </si>
  <si>
    <t>П</t>
  </si>
  <si>
    <t>Уставный капитал организаций, созданных в форме акционерного общества</t>
  </si>
  <si>
    <t>А</t>
  </si>
  <si>
    <t>ИТОГО</t>
  </si>
  <si>
    <t>За Сентябрь</t>
  </si>
  <si>
    <t>Имущество, полученное в финансовую аренду</t>
  </si>
  <si>
    <t>Арендные обязательства</t>
  </si>
  <si>
    <t xml:space="preserve"> Расходы, связанные с обеспечением деятельности</t>
  </si>
  <si>
    <t xml:space="preserve">Процентные расходы </t>
  </si>
  <si>
    <t>Начисление в дату</t>
  </si>
  <si>
    <t>Отражение кредиторской задолженности по текущему платежу</t>
  </si>
  <si>
    <t>Осуществление арендного платежа</t>
  </si>
  <si>
    <t>Платеж по графику (с НДС)</t>
  </si>
  <si>
    <t>из расчета срока ПИ = 5 лет</t>
  </si>
  <si>
    <t>ставка по договору = 20%</t>
  </si>
  <si>
    <t>Расходы, связанные с обеспечением деятельности</t>
  </si>
  <si>
    <t>Начисление НДС на % расход</t>
  </si>
  <si>
    <t>Прекращение признания ОА</t>
  </si>
  <si>
    <t>Расходы по другим операциям</t>
  </si>
  <si>
    <t>% Расход (без НДС)</t>
  </si>
  <si>
    <t>Обязательства По Аренде (ОА)</t>
  </si>
  <si>
    <t>*=ОА+АВАНС+ЗАТРАТЫ</t>
  </si>
  <si>
    <t>Признание Права пользования и ОА</t>
  </si>
  <si>
    <t>Начисление % расхода по ОА</t>
  </si>
  <si>
    <t>Отражение кредиторской задолженности по уплате процентов</t>
  </si>
  <si>
    <t>Уплата процентов с НДС</t>
  </si>
  <si>
    <t>Уплата выкупного платежа с НДС</t>
  </si>
  <si>
    <t>Признание Права пользования (АПП) и обязательства по аренде (ОА)</t>
  </si>
  <si>
    <t>Начисление амортизации по АПП</t>
  </si>
  <si>
    <t>Выбытие АПП (в сумме первоначальной стоимости)</t>
  </si>
  <si>
    <t>Перенос АПП в состав ОС</t>
  </si>
  <si>
    <t>Перенос накопленной амортизации по АПП</t>
  </si>
  <si>
    <t>Амортизация основных средств (кроме земли)</t>
  </si>
  <si>
    <t>Списание накопленной амортизации по АПП</t>
  </si>
  <si>
    <t>Актив в форме Права Пользования (АПП)</t>
  </si>
  <si>
    <t>В.1</t>
  </si>
  <si>
    <t>Отражение суммы уплаченного аванса на внебалансовом счете</t>
  </si>
  <si>
    <t>915XX</t>
  </si>
  <si>
    <t>Авансы уплаченные по договорам аренды</t>
  </si>
  <si>
    <t>Счет для корреспонденции с активными счетами при двойной записи</t>
  </si>
  <si>
    <t>В.2</t>
  </si>
  <si>
    <t>Зачет части аванса уплаченного (по условию договора)</t>
  </si>
  <si>
    <t>в сумме зачета за период</t>
  </si>
  <si>
    <t>В.3</t>
  </si>
  <si>
    <t>В.4</t>
  </si>
  <si>
    <t>Списание аванса уплаченного</t>
  </si>
  <si>
    <t>в сумме остатка</t>
  </si>
  <si>
    <t>-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</si>
</sst>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164" fontId="39" fillId="0" borderId="0" xfId="0" applyNumberFormat="1" applyFont="1" applyBorder="1" applyAlignment="1">
      <alignment horizontal="center" wrapText="1"/>
    </xf>
    <xf numFmtId="14" fontId="40" fillId="0" borderId="0" xfId="0" applyNumberFormat="1" applyFont="1" applyBorder="1" applyAlignment="1">
      <alignment horizontal="center"/>
    </xf>
    <xf numFmtId="164" fontId="40" fillId="0" borderId="0" xfId="58" applyNumberFormat="1" applyFont="1" applyBorder="1" applyAlignment="1">
      <alignment horizontal="right"/>
    </xf>
    <xf numFmtId="164" fontId="40" fillId="0" borderId="0" xfId="58" applyNumberFormat="1" applyFont="1" applyBorder="1" applyAlignment="1">
      <alignment horizontal="center"/>
    </xf>
    <xf numFmtId="43" fontId="40" fillId="0" borderId="0" xfId="58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4" fontId="40" fillId="0" borderId="0" xfId="0" applyNumberFormat="1" applyFont="1" applyFill="1" applyBorder="1" applyAlignment="1">
      <alignment horizontal="center"/>
    </xf>
    <xf numFmtId="164" fontId="40" fillId="0" borderId="0" xfId="58" applyNumberFormat="1" applyFont="1" applyFill="1" applyBorder="1" applyAlignment="1">
      <alignment horizontal="center"/>
    </xf>
    <xf numFmtId="14" fontId="39" fillId="33" borderId="10" xfId="0" applyNumberFormat="1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164" fontId="30" fillId="33" borderId="10" xfId="0" applyNumberFormat="1" applyFont="1" applyFill="1" applyBorder="1" applyAlignment="1">
      <alignment/>
    </xf>
    <xf numFmtId="165" fontId="0" fillId="0" borderId="0" xfId="55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14" fontId="40" fillId="33" borderId="11" xfId="0" applyNumberFormat="1" applyFont="1" applyFill="1" applyBorder="1" applyAlignment="1">
      <alignment horizontal="center"/>
    </xf>
    <xf numFmtId="164" fontId="40" fillId="33" borderId="11" xfId="58" applyNumberFormat="1" applyFont="1" applyFill="1" applyBorder="1" applyAlignment="1">
      <alignment horizontal="right"/>
    </xf>
    <xf numFmtId="164" fontId="40" fillId="33" borderId="11" xfId="58" applyNumberFormat="1" applyFont="1" applyFill="1" applyBorder="1" applyAlignment="1">
      <alignment horizontal="center"/>
    </xf>
    <xf numFmtId="14" fontId="39" fillId="33" borderId="11" xfId="0" applyNumberFormat="1" applyFont="1" applyFill="1" applyBorder="1" applyAlignment="1">
      <alignment horizontal="center"/>
    </xf>
    <xf numFmtId="164" fontId="39" fillId="33" borderId="11" xfId="58" applyNumberFormat="1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164" fontId="39" fillId="0" borderId="11" xfId="0" applyNumberFormat="1" applyFont="1" applyBorder="1" applyAlignment="1">
      <alignment horizontal="center" wrapText="1"/>
    </xf>
    <xf numFmtId="164" fontId="40" fillId="0" borderId="11" xfId="58" applyNumberFormat="1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9" fontId="40" fillId="0" borderId="11" xfId="0" applyNumberFormat="1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9" fontId="40" fillId="0" borderId="0" xfId="0" applyNumberFormat="1" applyFont="1" applyBorder="1" applyAlignment="1">
      <alignment horizontal="center" wrapText="1"/>
    </xf>
    <xf numFmtId="43" fontId="39" fillId="0" borderId="0" xfId="58" applyFont="1" applyBorder="1" applyAlignment="1">
      <alignment horizontal="center" wrapText="1"/>
    </xf>
    <xf numFmtId="0" fontId="41" fillId="0" borderId="0" xfId="0" applyFont="1" applyAlignment="1">
      <alignment/>
    </xf>
    <xf numFmtId="0" fontId="42" fillId="33" borderId="12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1" fillId="0" borderId="0" xfId="0" applyFont="1" applyAlignment="1">
      <alignment vertical="top"/>
    </xf>
    <xf numFmtId="14" fontId="41" fillId="0" borderId="0" xfId="0" applyNumberFormat="1" applyFont="1" applyAlignment="1">
      <alignment vertical="top"/>
    </xf>
    <xf numFmtId="0" fontId="41" fillId="0" borderId="0" xfId="0" applyFont="1" applyAlignment="1">
      <alignment vertical="top" wrapText="1"/>
    </xf>
    <xf numFmtId="164" fontId="41" fillId="0" borderId="0" xfId="58" applyNumberFormat="1" applyFont="1" applyAlignment="1">
      <alignment vertical="top"/>
    </xf>
    <xf numFmtId="164" fontId="41" fillId="0" borderId="0" xfId="58" applyNumberFormat="1" applyFont="1" applyAlignment="1">
      <alignment vertical="top" wrapText="1"/>
    </xf>
    <xf numFmtId="14" fontId="41" fillId="0" borderId="0" xfId="0" applyNumberFormat="1" applyFont="1" applyFill="1" applyAlignment="1">
      <alignment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164" fontId="41" fillId="0" borderId="0" xfId="0" applyNumberFormat="1" applyFont="1" applyAlignment="1">
      <alignment vertical="top"/>
    </xf>
    <xf numFmtId="164" fontId="41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33" borderId="12" xfId="0" applyFont="1" applyFill="1" applyBorder="1" applyAlignment="1">
      <alignment horizontal="center"/>
    </xf>
    <xf numFmtId="164" fontId="41" fillId="0" borderId="0" xfId="58" applyNumberFormat="1" applyFont="1" applyBorder="1" applyAlignment="1">
      <alignment horizontal="center" wrapText="1"/>
    </xf>
    <xf numFmtId="164" fontId="41" fillId="0" borderId="0" xfId="58" applyNumberFormat="1" applyFont="1" applyBorder="1" applyAlignment="1">
      <alignment horizontal="center"/>
    </xf>
    <xf numFmtId="164" fontId="41" fillId="0" borderId="0" xfId="58" applyNumberFormat="1" applyFont="1" applyAlignment="1">
      <alignment/>
    </xf>
    <xf numFmtId="0" fontId="41" fillId="0" borderId="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vertical="top" wrapText="1"/>
    </xf>
    <xf numFmtId="164" fontId="42" fillId="33" borderId="11" xfId="58" applyNumberFormat="1" applyFont="1" applyFill="1" applyBorder="1" applyAlignment="1">
      <alignment/>
    </xf>
    <xf numFmtId="0" fontId="42" fillId="0" borderId="0" xfId="0" applyFont="1" applyAlignment="1">
      <alignment horizontal="left"/>
    </xf>
    <xf numFmtId="164" fontId="42" fillId="33" borderId="12" xfId="58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vertical="top" wrapText="1"/>
    </xf>
    <xf numFmtId="0" fontId="41" fillId="0" borderId="0" xfId="0" applyFont="1" applyBorder="1" applyAlignment="1">
      <alignment horizontal="center" vertical="top"/>
    </xf>
    <xf numFmtId="164" fontId="41" fillId="0" borderId="0" xfId="58" applyNumberFormat="1" applyFont="1" applyBorder="1" applyAlignment="1">
      <alignment horizontal="center" vertical="top" wrapText="1"/>
    </xf>
    <xf numFmtId="164" fontId="41" fillId="0" borderId="0" xfId="58" applyNumberFormat="1" applyFont="1" applyBorder="1" applyAlignment="1">
      <alignment horizontal="center" vertical="top"/>
    </xf>
    <xf numFmtId="0" fontId="39" fillId="33" borderId="12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wrapText="1"/>
    </xf>
    <xf numFmtId="0" fontId="41" fillId="0" borderId="0" xfId="0" applyFont="1" applyAlignment="1">
      <alignment horizontal="right" vertical="top"/>
    </xf>
    <xf numFmtId="0" fontId="41" fillId="0" borderId="0" xfId="0" applyFont="1" applyFill="1" applyAlignment="1">
      <alignment horizontal="right" vertical="top"/>
    </xf>
    <xf numFmtId="164" fontId="41" fillId="0" borderId="0" xfId="58" applyNumberFormat="1" applyFont="1" applyFill="1" applyAlignment="1">
      <alignment vertical="top" wrapText="1"/>
    </xf>
    <xf numFmtId="164" fontId="41" fillId="0" borderId="0" xfId="58" applyNumberFormat="1" applyFont="1" applyFill="1" applyAlignment="1">
      <alignment vertical="top"/>
    </xf>
    <xf numFmtId="0" fontId="41" fillId="0" borderId="0" xfId="0" applyFont="1" applyFill="1" applyAlignment="1">
      <alignment vertical="top" wrapText="1"/>
    </xf>
    <xf numFmtId="0" fontId="41" fillId="0" borderId="0" xfId="0" applyFont="1" applyFill="1" applyAlignment="1">
      <alignment vertical="top"/>
    </xf>
    <xf numFmtId="164" fontId="41" fillId="0" borderId="0" xfId="58" applyNumberFormat="1" applyFont="1" applyFill="1" applyAlignment="1">
      <alignment horizontal="right" vertical="top" wrapText="1"/>
    </xf>
    <xf numFmtId="0" fontId="41" fillId="0" borderId="0" xfId="0" applyFont="1" applyFill="1" applyAlignment="1">
      <alignment/>
    </xf>
    <xf numFmtId="0" fontId="43" fillId="0" borderId="0" xfId="0" applyFont="1" applyAlignment="1">
      <alignment horizontal="center" vertical="top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vertical="top" wrapText="1"/>
    </xf>
    <xf numFmtId="164" fontId="43" fillId="0" borderId="0" xfId="58" applyNumberFormat="1" applyFont="1" applyBorder="1" applyAlignment="1">
      <alignment horizontal="center" wrapText="1"/>
    </xf>
    <xf numFmtId="164" fontId="43" fillId="0" borderId="0" xfId="58" applyNumberFormat="1" applyFont="1" applyAlignment="1">
      <alignment vertical="top"/>
    </xf>
    <xf numFmtId="164" fontId="43" fillId="0" borderId="0" xfId="58" applyNumberFormat="1" applyFont="1" applyAlignment="1">
      <alignment/>
    </xf>
    <xf numFmtId="0" fontId="43" fillId="0" borderId="0" xfId="0" applyFont="1" applyAlignment="1">
      <alignment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center" wrapText="1"/>
    </xf>
    <xf numFmtId="0" fontId="39" fillId="33" borderId="16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39" fillId="33" borderId="14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/>
    </xf>
    <xf numFmtId="164" fontId="42" fillId="33" borderId="12" xfId="58" applyNumberFormat="1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 wrapText="1"/>
    </xf>
    <xf numFmtId="164" fontId="42" fillId="33" borderId="12" xfId="58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zoomScalePageLayoutView="0" workbookViewId="0" topLeftCell="A34">
      <selection activeCell="C37" sqref="C37"/>
    </sheetView>
  </sheetViews>
  <sheetFormatPr defaultColWidth="9.140625" defaultRowHeight="15" outlineLevelCol="1"/>
  <cols>
    <col min="1" max="1" width="3.00390625" style="1" customWidth="1"/>
    <col min="2" max="2" width="11.28125" style="1" bestFit="1" customWidth="1"/>
    <col min="3" max="3" width="15.00390625" style="1" bestFit="1" customWidth="1"/>
    <col min="4" max="4" width="13.7109375" style="1" bestFit="1" customWidth="1"/>
    <col min="5" max="5" width="13.421875" style="1" bestFit="1" customWidth="1"/>
    <col min="6" max="8" width="13.7109375" style="1" bestFit="1" customWidth="1"/>
    <col min="9" max="9" width="16.57421875" style="1" customWidth="1"/>
    <col min="10" max="10" width="13.7109375" style="1" hidden="1" customWidth="1" outlineLevel="1"/>
    <col min="11" max="11" width="9.140625" style="1" customWidth="1" collapsed="1"/>
    <col min="12" max="16384" width="9.140625" style="1" customWidth="1"/>
  </cols>
  <sheetData>
    <row r="2" spans="2:10" ht="15.75">
      <c r="B2" s="83" t="s">
        <v>0</v>
      </c>
      <c r="C2" s="83" t="s">
        <v>1</v>
      </c>
      <c r="D2" s="85" t="s">
        <v>2</v>
      </c>
      <c r="E2" s="86"/>
      <c r="F2" s="86"/>
      <c r="G2" s="86"/>
      <c r="H2" s="87"/>
      <c r="I2" s="88" t="s">
        <v>3</v>
      </c>
      <c r="J2" s="2"/>
    </row>
    <row r="3" spans="2:10" ht="31.5">
      <c r="B3" s="84"/>
      <c r="C3" s="84"/>
      <c r="D3" s="66" t="s">
        <v>4</v>
      </c>
      <c r="E3" s="66" t="s">
        <v>5</v>
      </c>
      <c r="F3" s="66" t="s">
        <v>6</v>
      </c>
      <c r="G3" s="66" t="s">
        <v>7</v>
      </c>
      <c r="H3" s="66" t="s">
        <v>8</v>
      </c>
      <c r="I3" s="89"/>
      <c r="J3" s="2"/>
    </row>
    <row r="4" spans="2:10" ht="15.75">
      <c r="B4" s="3"/>
      <c r="C4" s="3"/>
      <c r="D4" s="2"/>
      <c r="E4" s="2"/>
      <c r="F4" s="4"/>
      <c r="G4" s="2"/>
      <c r="H4" s="2"/>
      <c r="I4" s="2"/>
      <c r="J4" s="2"/>
    </row>
    <row r="5" spans="1:10" ht="15.75">
      <c r="A5" s="1" t="s">
        <v>9</v>
      </c>
      <c r="B5" s="5">
        <v>42607</v>
      </c>
      <c r="C5" s="5" t="s">
        <v>10</v>
      </c>
      <c r="D5" s="6">
        <v>774800</v>
      </c>
      <c r="E5" s="7">
        <f aca="true" t="shared" si="0" ref="E5:E42">D5*18/118</f>
        <v>118189.83050847458</v>
      </c>
      <c r="F5" s="7">
        <f>D5-E5</f>
        <v>656610.1694915254</v>
      </c>
      <c r="G5" s="7">
        <v>0</v>
      </c>
      <c r="H5" s="7">
        <v>0</v>
      </c>
      <c r="I5" s="7">
        <f>_XLL.ЧИСТНЗ($B$46,F5:$F$42,B5:$B$42)-F5</f>
        <v>2672723.1627704105</v>
      </c>
      <c r="J5" s="7">
        <f>F5</f>
        <v>656610.1694915254</v>
      </c>
    </row>
    <row r="6" spans="2:10" ht="15.75">
      <c r="B6" s="5">
        <v>42638</v>
      </c>
      <c r="C6" s="5" t="s">
        <v>11</v>
      </c>
      <c r="D6" s="7">
        <v>153116.48</v>
      </c>
      <c r="E6" s="7">
        <f t="shared" si="0"/>
        <v>23356.75118644068</v>
      </c>
      <c r="F6" s="7">
        <f>D6-E6</f>
        <v>129759.72881355933</v>
      </c>
      <c r="G6" s="7">
        <f aca="true" t="shared" si="1" ref="G6:G42">I5-I6</f>
        <v>88050.93240890699</v>
      </c>
      <c r="H6" s="7">
        <f aca="true" t="shared" si="2" ref="H6:H42">F6-(I5-I6)</f>
        <v>41708.79640465234</v>
      </c>
      <c r="I6" s="7">
        <f>_XLL.ЧИСТНЗ($B$46,F6:$F$42,B6:$B$42)-F6</f>
        <v>2584672.2303615035</v>
      </c>
      <c r="J6" s="7">
        <f aca="true" t="shared" si="3" ref="J6:J42">F6</f>
        <v>129759.72881355933</v>
      </c>
    </row>
    <row r="7" spans="2:10" ht="15.75">
      <c r="B7" s="5">
        <v>42668</v>
      </c>
      <c r="C7" s="5" t="s">
        <v>11</v>
      </c>
      <c r="D7" s="7">
        <v>151551.81</v>
      </c>
      <c r="E7" s="7">
        <f t="shared" si="0"/>
        <v>23118.072711864406</v>
      </c>
      <c r="F7" s="7">
        <f aca="true" t="shared" si="4" ref="F7:F42">D7-E7</f>
        <v>128433.7372881356</v>
      </c>
      <c r="G7" s="7">
        <f t="shared" si="1"/>
        <v>89409.89975102525</v>
      </c>
      <c r="H7" s="7">
        <f t="shared" si="2"/>
        <v>39023.83753711035</v>
      </c>
      <c r="I7" s="7">
        <f>_XLL.ЧИСТНЗ($B$46,F7:$F$42,B7:$B$42)-F7</f>
        <v>2495262.3306104783</v>
      </c>
      <c r="J7" s="7">
        <f t="shared" si="3"/>
        <v>128433.7372881356</v>
      </c>
    </row>
    <row r="8" spans="2:10" ht="15.75">
      <c r="B8" s="5">
        <v>42699</v>
      </c>
      <c r="C8" s="5" t="s">
        <v>11</v>
      </c>
      <c r="D8" s="7">
        <v>149987.15</v>
      </c>
      <c r="E8" s="7">
        <f t="shared" si="0"/>
        <v>22879.39576271186</v>
      </c>
      <c r="F8" s="7">
        <f t="shared" si="4"/>
        <v>127107.75423728813</v>
      </c>
      <c r="G8" s="7">
        <f t="shared" si="1"/>
        <v>88168.29729190329</v>
      </c>
      <c r="H8" s="7">
        <f t="shared" si="2"/>
        <v>38939.45694538484</v>
      </c>
      <c r="I8" s="7">
        <f>_XLL.ЧИСТНЗ($B$46,F8:$F$42,B8:$B$42)-F8</f>
        <v>2407094.033318575</v>
      </c>
      <c r="J8" s="7">
        <f t="shared" si="3"/>
        <v>127107.75423728813</v>
      </c>
    </row>
    <row r="9" spans="2:10" ht="15.75">
      <c r="B9" s="5">
        <v>42729</v>
      </c>
      <c r="C9" s="5" t="s">
        <v>11</v>
      </c>
      <c r="D9" s="7">
        <v>148422.48</v>
      </c>
      <c r="E9" s="7">
        <f t="shared" si="0"/>
        <v>22640.717288135595</v>
      </c>
      <c r="F9" s="7">
        <f t="shared" si="4"/>
        <v>125781.76271186442</v>
      </c>
      <c r="G9" s="7">
        <f t="shared" si="1"/>
        <v>89439.03213683981</v>
      </c>
      <c r="H9" s="7">
        <f t="shared" si="2"/>
        <v>36342.7305750246</v>
      </c>
      <c r="I9" s="7">
        <f>_XLL.ЧИСТНЗ($B$46,F9:$F$42,B9:$B$42)-F9</f>
        <v>2317655.001181735</v>
      </c>
      <c r="J9" s="7">
        <f t="shared" si="3"/>
        <v>125781.76271186442</v>
      </c>
    </row>
    <row r="10" spans="2:10" ht="15.75">
      <c r="B10" s="5">
        <v>42760</v>
      </c>
      <c r="C10" s="5" t="s">
        <v>11</v>
      </c>
      <c r="D10" s="7">
        <v>146857.82</v>
      </c>
      <c r="E10" s="7">
        <f t="shared" si="0"/>
        <v>22402.040338983054</v>
      </c>
      <c r="F10" s="7">
        <f t="shared" si="4"/>
        <v>124455.77966101695</v>
      </c>
      <c r="G10" s="7">
        <f t="shared" si="1"/>
        <v>88287.94831692986</v>
      </c>
      <c r="H10" s="7">
        <f t="shared" si="2"/>
        <v>36167.831344087084</v>
      </c>
      <c r="I10" s="7">
        <f>_XLL.ЧИСТНЗ($B$46,F10:$F$42,B10:$B$42)-F10</f>
        <v>2229367.0528648053</v>
      </c>
      <c r="J10" s="7">
        <f t="shared" si="3"/>
        <v>124455.77966101695</v>
      </c>
    </row>
    <row r="11" spans="2:10" ht="15.75">
      <c r="B11" s="5">
        <v>42791</v>
      </c>
      <c r="C11" s="5" t="s">
        <v>11</v>
      </c>
      <c r="D11" s="7">
        <v>145293.15</v>
      </c>
      <c r="E11" s="7">
        <f t="shared" si="0"/>
        <v>22163.361864406776</v>
      </c>
      <c r="F11" s="7">
        <f t="shared" si="4"/>
        <v>123129.78813559322</v>
      </c>
      <c r="G11" s="7">
        <f t="shared" si="1"/>
        <v>88339.72165418603</v>
      </c>
      <c r="H11" s="7">
        <f t="shared" si="2"/>
        <v>34790.06648140719</v>
      </c>
      <c r="I11" s="7">
        <f>_XLL.ЧИСТНЗ($B$46,F11:$F$42,B11:$B$42)-F11</f>
        <v>2141027.3312106193</v>
      </c>
      <c r="J11" s="7">
        <f t="shared" si="3"/>
        <v>123129.78813559322</v>
      </c>
    </row>
    <row r="12" spans="2:10" ht="15.75">
      <c r="B12" s="5">
        <v>42819</v>
      </c>
      <c r="C12" s="5" t="s">
        <v>11</v>
      </c>
      <c r="D12" s="7">
        <v>143728.49</v>
      </c>
      <c r="E12" s="7">
        <f t="shared" si="0"/>
        <v>21924.684915254235</v>
      </c>
      <c r="F12" s="7">
        <f t="shared" si="4"/>
        <v>121803.80508474575</v>
      </c>
      <c r="G12" s="7">
        <f t="shared" si="1"/>
        <v>91648.3402466951</v>
      </c>
      <c r="H12" s="7">
        <f t="shared" si="2"/>
        <v>30155.464838050655</v>
      </c>
      <c r="I12" s="7">
        <f>_XLL.ЧИСТНЗ($B$46,F12:$F$42,B12:$B$42)-F12</f>
        <v>2049378.9909639242</v>
      </c>
      <c r="J12" s="7">
        <f t="shared" si="3"/>
        <v>121803.80508474575</v>
      </c>
    </row>
    <row r="13" spans="2:10" ht="15.75">
      <c r="B13" s="5">
        <v>42850</v>
      </c>
      <c r="C13" s="5" t="s">
        <v>11</v>
      </c>
      <c r="D13" s="7">
        <v>142163.82</v>
      </c>
      <c r="E13" s="7">
        <f t="shared" si="0"/>
        <v>21686.006440677967</v>
      </c>
      <c r="F13" s="7">
        <f t="shared" si="4"/>
        <v>120477.81355932204</v>
      </c>
      <c r="G13" s="7">
        <f t="shared" si="1"/>
        <v>88496.52485694597</v>
      </c>
      <c r="H13" s="7">
        <f t="shared" si="2"/>
        <v>31981.28870237607</v>
      </c>
      <c r="I13" s="7">
        <f>_XLL.ЧИСТНЗ($B$46,F13:$F$42,B13:$B$42)-F13</f>
        <v>1960882.4661069782</v>
      </c>
      <c r="J13" s="7">
        <f t="shared" si="3"/>
        <v>120477.81355932204</v>
      </c>
    </row>
    <row r="14" spans="2:10" ht="15.75">
      <c r="B14" s="5">
        <v>42880</v>
      </c>
      <c r="C14" s="5" t="s">
        <v>11</v>
      </c>
      <c r="D14" s="7">
        <v>140599.16</v>
      </c>
      <c r="E14" s="7">
        <f t="shared" si="0"/>
        <v>21447.329491525423</v>
      </c>
      <c r="F14" s="7">
        <f t="shared" si="4"/>
        <v>119151.83050847458</v>
      </c>
      <c r="G14" s="7">
        <f t="shared" si="1"/>
        <v>89546.08093301416</v>
      </c>
      <c r="H14" s="7">
        <f t="shared" si="2"/>
        <v>29605.749575460417</v>
      </c>
      <c r="I14" s="7">
        <f>_XLL.ЧИСТНЗ($B$46,F14:$F$42,B14:$B$42)-F14</f>
        <v>1871336.385173964</v>
      </c>
      <c r="J14" s="7">
        <f t="shared" si="3"/>
        <v>119151.83050847458</v>
      </c>
    </row>
    <row r="15" spans="2:10" ht="15.75">
      <c r="B15" s="5">
        <v>42911</v>
      </c>
      <c r="C15" s="5" t="s">
        <v>11</v>
      </c>
      <c r="D15" s="7">
        <v>139034.49</v>
      </c>
      <c r="E15" s="7">
        <f t="shared" si="0"/>
        <v>21208.651016949152</v>
      </c>
      <c r="F15" s="7">
        <f t="shared" si="4"/>
        <v>117825.83898305084</v>
      </c>
      <c r="G15" s="7">
        <f t="shared" si="1"/>
        <v>88622.96852454264</v>
      </c>
      <c r="H15" s="7">
        <f t="shared" si="2"/>
        <v>29202.8704585082</v>
      </c>
      <c r="I15" s="7">
        <f>_XLL.ЧИСТНЗ($B$46,F15:$F$42,B15:$B$42)-F15</f>
        <v>1782713.4166494214</v>
      </c>
      <c r="J15" s="7">
        <f t="shared" si="3"/>
        <v>117825.83898305084</v>
      </c>
    </row>
    <row r="16" spans="2:10" ht="15.75">
      <c r="B16" s="5">
        <v>42941</v>
      </c>
      <c r="C16" s="5" t="s">
        <v>11</v>
      </c>
      <c r="D16" s="7">
        <v>137469.83</v>
      </c>
      <c r="E16" s="7">
        <f t="shared" si="0"/>
        <v>20969.97406779661</v>
      </c>
      <c r="F16" s="7">
        <f t="shared" si="4"/>
        <v>116499.85593220338</v>
      </c>
      <c r="G16" s="7">
        <f t="shared" si="1"/>
        <v>89584.13411287381</v>
      </c>
      <c r="H16" s="7">
        <f t="shared" si="2"/>
        <v>26915.72181932957</v>
      </c>
      <c r="I16" s="7">
        <f>_XLL.ЧИСТНЗ($B$46,F16:$F$42,B16:$B$42)-F16</f>
        <v>1693129.2825365476</v>
      </c>
      <c r="J16" s="7">
        <f t="shared" si="3"/>
        <v>116499.85593220338</v>
      </c>
    </row>
    <row r="17" spans="2:10" ht="15.75">
      <c r="B17" s="5">
        <v>42972</v>
      </c>
      <c r="C17" s="5" t="s">
        <v>11</v>
      </c>
      <c r="D17" s="7">
        <v>135905.16</v>
      </c>
      <c r="E17" s="7">
        <f t="shared" si="0"/>
        <v>20731.295593220337</v>
      </c>
      <c r="F17" s="7">
        <f t="shared" si="4"/>
        <v>115173.86440677967</v>
      </c>
      <c r="G17" s="7">
        <f t="shared" si="1"/>
        <v>88751.97922400106</v>
      </c>
      <c r="H17" s="7">
        <f t="shared" si="2"/>
        <v>26421.885182778613</v>
      </c>
      <c r="I17" s="7">
        <f>_XLL.ЧИСТНЗ($B$46,F17:$F$42,B17:$B$42)-F17</f>
        <v>1604377.3033125466</v>
      </c>
      <c r="J17" s="7">
        <f t="shared" si="3"/>
        <v>115173.86440677967</v>
      </c>
    </row>
    <row r="18" spans="2:10" ht="15.75">
      <c r="B18" s="5">
        <v>43003</v>
      </c>
      <c r="C18" s="5" t="s">
        <v>11</v>
      </c>
      <c r="D18" s="7">
        <v>117128.28</v>
      </c>
      <c r="E18" s="7">
        <f t="shared" si="0"/>
        <v>17867.025762711866</v>
      </c>
      <c r="F18" s="7">
        <f t="shared" si="4"/>
        <v>99261.25423728813</v>
      </c>
      <c r="G18" s="7">
        <f t="shared" si="1"/>
        <v>74224.3752846818</v>
      </c>
      <c r="H18" s="7">
        <f t="shared" si="2"/>
        <v>25036.878952606334</v>
      </c>
      <c r="I18" s="7">
        <f>_XLL.ЧИСТНЗ($B$46,F18:$F$42,B18:$B$42)-F18</f>
        <v>1530152.9280278648</v>
      </c>
      <c r="J18" s="7">
        <f t="shared" si="3"/>
        <v>99261.25423728813</v>
      </c>
    </row>
    <row r="19" spans="2:10" ht="15.75">
      <c r="B19" s="5">
        <v>43033</v>
      </c>
      <c r="C19" s="5" t="s">
        <v>11</v>
      </c>
      <c r="D19" s="7">
        <v>115744.04</v>
      </c>
      <c r="E19" s="7">
        <f t="shared" si="0"/>
        <v>17655.870508474574</v>
      </c>
      <c r="F19" s="7">
        <f t="shared" si="4"/>
        <v>98088.16949152542</v>
      </c>
      <c r="G19" s="7">
        <f t="shared" si="1"/>
        <v>74985.6505071579</v>
      </c>
      <c r="H19" s="7">
        <f t="shared" si="2"/>
        <v>23102.518984367518</v>
      </c>
      <c r="I19" s="7">
        <f>_XLL.ЧИСТНЗ($B$46,F19:$F$42,B19:$B$42)-F19</f>
        <v>1455167.2775207069</v>
      </c>
      <c r="J19" s="7">
        <f t="shared" si="3"/>
        <v>98088.16949152542</v>
      </c>
    </row>
    <row r="20" spans="2:10" ht="15.75">
      <c r="B20" s="5">
        <v>43064</v>
      </c>
      <c r="C20" s="5" t="s">
        <v>11</v>
      </c>
      <c r="D20" s="7">
        <v>114359.79</v>
      </c>
      <c r="E20" s="7">
        <f t="shared" si="0"/>
        <v>17444.71372881356</v>
      </c>
      <c r="F20" s="7">
        <f t="shared" si="4"/>
        <v>96915.07627118644</v>
      </c>
      <c r="G20" s="7">
        <f t="shared" si="1"/>
        <v>74206.67288760794</v>
      </c>
      <c r="H20" s="7">
        <f t="shared" si="2"/>
        <v>22708.403383578494</v>
      </c>
      <c r="I20" s="7">
        <f>_XLL.ЧИСТНЗ($B$46,F20:$F$42,B20:$B$42)-F20</f>
        <v>1380960.604633099</v>
      </c>
      <c r="J20" s="7">
        <f t="shared" si="3"/>
        <v>96915.07627118644</v>
      </c>
    </row>
    <row r="21" spans="2:10" ht="15.75">
      <c r="B21" s="5">
        <v>43094</v>
      </c>
      <c r="C21" s="5" t="s">
        <v>11</v>
      </c>
      <c r="D21" s="7">
        <v>112975.55</v>
      </c>
      <c r="E21" s="7">
        <f t="shared" si="0"/>
        <v>17233.55847457627</v>
      </c>
      <c r="F21" s="7">
        <f t="shared" si="4"/>
        <v>95741.99152542373</v>
      </c>
      <c r="G21" s="7">
        <f t="shared" si="1"/>
        <v>74892.00457260408</v>
      </c>
      <c r="H21" s="7">
        <f t="shared" si="2"/>
        <v>20849.986952819643</v>
      </c>
      <c r="I21" s="7">
        <f>_XLL.ЧИСТНЗ($B$46,F21:$F$42,B21:$B$42)-F21</f>
        <v>1306068.6000604948</v>
      </c>
      <c r="J21" s="7">
        <f t="shared" si="3"/>
        <v>95741.99152542373</v>
      </c>
    </row>
    <row r="22" spans="2:10" ht="15.75">
      <c r="B22" s="5">
        <v>43125</v>
      </c>
      <c r="C22" s="5" t="s">
        <v>11</v>
      </c>
      <c r="D22" s="7">
        <v>111591.31</v>
      </c>
      <c r="E22" s="7">
        <f t="shared" si="0"/>
        <v>17022.403220338983</v>
      </c>
      <c r="F22" s="7">
        <f t="shared" si="4"/>
        <v>94568.90677966102</v>
      </c>
      <c r="G22" s="7">
        <f t="shared" si="1"/>
        <v>74187.24133475637</v>
      </c>
      <c r="H22" s="7">
        <f t="shared" si="2"/>
        <v>20381.665444904647</v>
      </c>
      <c r="I22" s="7">
        <f>_XLL.ЧИСТНЗ($B$46,F22:$F$42,B22:$B$42)-F22</f>
        <v>1231881.3587257385</v>
      </c>
      <c r="J22" s="7">
        <f t="shared" si="3"/>
        <v>94568.90677966102</v>
      </c>
    </row>
    <row r="23" spans="2:10" ht="15.75">
      <c r="B23" s="5">
        <v>43156</v>
      </c>
      <c r="C23" s="5" t="s">
        <v>11</v>
      </c>
      <c r="D23" s="7">
        <v>110207.07</v>
      </c>
      <c r="E23" s="7">
        <f t="shared" si="0"/>
        <v>16811.2479661017</v>
      </c>
      <c r="F23" s="7">
        <f t="shared" si="4"/>
        <v>93395.82203389831</v>
      </c>
      <c r="G23" s="7">
        <f t="shared" si="1"/>
        <v>74171.87489957525</v>
      </c>
      <c r="H23" s="7">
        <f t="shared" si="2"/>
        <v>19223.947134323054</v>
      </c>
      <c r="I23" s="7">
        <f>_XLL.ЧИСТНЗ($B$46,F23:$F$42,B23:$B$42)-F23</f>
        <v>1157709.4838261632</v>
      </c>
      <c r="J23" s="7">
        <f t="shared" si="3"/>
        <v>93395.82203389831</v>
      </c>
    </row>
    <row r="24" spans="2:10" ht="15.75">
      <c r="B24" s="5">
        <v>43184</v>
      </c>
      <c r="C24" s="5" t="s">
        <v>11</v>
      </c>
      <c r="D24" s="7">
        <v>108822.83</v>
      </c>
      <c r="E24" s="7">
        <f t="shared" si="0"/>
        <v>16600.092711864407</v>
      </c>
      <c r="F24" s="7">
        <f t="shared" si="4"/>
        <v>92222.7372881356</v>
      </c>
      <c r="G24" s="7">
        <f t="shared" si="1"/>
        <v>75916.88863161369</v>
      </c>
      <c r="H24" s="7">
        <f t="shared" si="2"/>
        <v>16305.848656521906</v>
      </c>
      <c r="I24" s="7">
        <f>_XLL.ЧИСТНЗ($B$46,F24:$F$42,B24:$B$42)-F24</f>
        <v>1081792.5951945495</v>
      </c>
      <c r="J24" s="7">
        <f t="shared" si="3"/>
        <v>92222.7372881356</v>
      </c>
    </row>
    <row r="25" spans="2:10" ht="15.75">
      <c r="B25" s="5">
        <v>43215</v>
      </c>
      <c r="C25" s="5" t="s">
        <v>11</v>
      </c>
      <c r="D25" s="7">
        <v>107438.59</v>
      </c>
      <c r="E25" s="7">
        <f t="shared" si="0"/>
        <v>16388.93745762712</v>
      </c>
      <c r="F25" s="7">
        <f t="shared" si="4"/>
        <v>91049.65254237287</v>
      </c>
      <c r="G25" s="7">
        <f t="shared" si="1"/>
        <v>74167.89399231691</v>
      </c>
      <c r="H25" s="7">
        <f t="shared" si="2"/>
        <v>16881.758550055965</v>
      </c>
      <c r="I25" s="7">
        <f>_XLL.ЧИСТНЗ($B$46,F25:$F$42,B25:$B$42)-F25</f>
        <v>1007624.7012022326</v>
      </c>
      <c r="J25" s="7">
        <f t="shared" si="3"/>
        <v>91049.65254237287</v>
      </c>
    </row>
    <row r="26" spans="2:10" ht="15.75">
      <c r="B26" s="5">
        <v>43245</v>
      </c>
      <c r="C26" s="5" t="s">
        <v>11</v>
      </c>
      <c r="D26" s="7">
        <v>106054.35</v>
      </c>
      <c r="E26" s="7">
        <f t="shared" si="0"/>
        <v>16177.78220338983</v>
      </c>
      <c r="F26" s="7">
        <f t="shared" si="4"/>
        <v>89876.56779661018</v>
      </c>
      <c r="G26" s="7">
        <f t="shared" si="1"/>
        <v>74663.27220879938</v>
      </c>
      <c r="H26" s="7">
        <f t="shared" si="2"/>
        <v>15213.295587810804</v>
      </c>
      <c r="I26" s="7">
        <f>_XLL.ЧИСТНЗ($B$46,F26:$F$42,B26:$B$42)-F26</f>
        <v>932961.4289934332</v>
      </c>
      <c r="J26" s="7">
        <f t="shared" si="3"/>
        <v>89876.56779661018</v>
      </c>
    </row>
    <row r="27" spans="2:10" ht="15.75">
      <c r="B27" s="5">
        <v>43276</v>
      </c>
      <c r="C27" s="5" t="s">
        <v>11</v>
      </c>
      <c r="D27" s="7">
        <v>104670.11</v>
      </c>
      <c r="E27" s="7">
        <f t="shared" si="0"/>
        <v>15966.626949152542</v>
      </c>
      <c r="F27" s="7">
        <f t="shared" si="4"/>
        <v>88703.48305084746</v>
      </c>
      <c r="G27" s="7">
        <f t="shared" si="1"/>
        <v>74144.287831038</v>
      </c>
      <c r="H27" s="7">
        <f t="shared" si="2"/>
        <v>14559.195219809451</v>
      </c>
      <c r="I27" s="7">
        <f>_XLL.ЧИСТНЗ($B$46,F27:$F$42,B27:$B$42)-F27</f>
        <v>858817.1411623952</v>
      </c>
      <c r="J27" s="7">
        <f t="shared" si="3"/>
        <v>88703.48305084746</v>
      </c>
    </row>
    <row r="28" spans="2:10" ht="15.75">
      <c r="B28" s="5">
        <v>43306</v>
      </c>
      <c r="C28" s="5" t="s">
        <v>11</v>
      </c>
      <c r="D28" s="7">
        <v>103285.87</v>
      </c>
      <c r="E28" s="7">
        <f t="shared" si="0"/>
        <v>15755.471694915253</v>
      </c>
      <c r="F28" s="7">
        <f t="shared" si="4"/>
        <v>87530.39830508475</v>
      </c>
      <c r="G28" s="7">
        <f t="shared" si="1"/>
        <v>74563.82552377705</v>
      </c>
      <c r="H28" s="7">
        <f t="shared" si="2"/>
        <v>12966.572781307696</v>
      </c>
      <c r="I28" s="7">
        <f>_XLL.ЧИСТНЗ($B$46,F28:$F$42,B28:$B$42)-F28</f>
        <v>784253.3156386182</v>
      </c>
      <c r="J28" s="7">
        <f t="shared" si="3"/>
        <v>87530.39830508475</v>
      </c>
    </row>
    <row r="29" spans="2:10" ht="15.75">
      <c r="B29" s="5">
        <v>43337</v>
      </c>
      <c r="C29" s="5" t="s">
        <v>11</v>
      </c>
      <c r="D29" s="7">
        <v>101901.63</v>
      </c>
      <c r="E29" s="7">
        <f t="shared" si="0"/>
        <v>15544.316440677967</v>
      </c>
      <c r="F29" s="7">
        <f t="shared" si="4"/>
        <v>86357.31355932204</v>
      </c>
      <c r="G29" s="7">
        <f t="shared" si="1"/>
        <v>74118.7613862867</v>
      </c>
      <c r="H29" s="7">
        <f t="shared" si="2"/>
        <v>12238.552173035336</v>
      </c>
      <c r="I29" s="7">
        <f>_XLL.ЧИСТНЗ($B$46,F29:$F$42,B29:$B$42)-F29</f>
        <v>710134.5542523315</v>
      </c>
      <c r="J29" s="7">
        <f t="shared" si="3"/>
        <v>86357.31355932204</v>
      </c>
    </row>
    <row r="30" spans="2:10" ht="15.75">
      <c r="B30" s="5">
        <v>43368</v>
      </c>
      <c r="C30" s="5" t="s">
        <v>11</v>
      </c>
      <c r="D30" s="7">
        <v>83305.17</v>
      </c>
      <c r="E30" s="7">
        <f t="shared" si="0"/>
        <v>12707.568305084746</v>
      </c>
      <c r="F30" s="7">
        <f t="shared" si="4"/>
        <v>70597.60169491525</v>
      </c>
      <c r="G30" s="7">
        <f t="shared" si="1"/>
        <v>59515.699178487645</v>
      </c>
      <c r="H30" s="7">
        <f t="shared" si="2"/>
        <v>11081.90251642761</v>
      </c>
      <c r="I30" s="7">
        <f>_XLL.ЧИСТНЗ($B$46,F30:$F$42,B30:$B$42)-F30</f>
        <v>650618.8550738438</v>
      </c>
      <c r="J30" s="7">
        <f t="shared" si="3"/>
        <v>70597.60169491525</v>
      </c>
    </row>
    <row r="31" spans="2:10" ht="15.75">
      <c r="B31" s="5">
        <v>43398</v>
      </c>
      <c r="C31" s="5" t="s">
        <v>11</v>
      </c>
      <c r="D31" s="7">
        <v>82101.35</v>
      </c>
      <c r="E31" s="7">
        <f t="shared" si="0"/>
        <v>12523.934745762712</v>
      </c>
      <c r="F31" s="7">
        <f t="shared" si="4"/>
        <v>69577.41525423729</v>
      </c>
      <c r="G31" s="7">
        <f t="shared" si="1"/>
        <v>59754.25694397406</v>
      </c>
      <c r="H31" s="7">
        <f t="shared" si="2"/>
        <v>9823.158310263228</v>
      </c>
      <c r="I31" s="7">
        <f>_XLL.ЧИСТНЗ($B$46,F31:$F$42,B31:$B$42)-F31</f>
        <v>590864.5981298698</v>
      </c>
      <c r="J31" s="7">
        <f t="shared" si="3"/>
        <v>69577.41525423729</v>
      </c>
    </row>
    <row r="32" spans="2:10" ht="15.75">
      <c r="B32" s="5">
        <v>43429</v>
      </c>
      <c r="C32" s="5" t="s">
        <v>11</v>
      </c>
      <c r="D32" s="7">
        <v>80897.53</v>
      </c>
      <c r="E32" s="7">
        <f t="shared" si="0"/>
        <v>12340.301186440678</v>
      </c>
      <c r="F32" s="7">
        <f t="shared" si="4"/>
        <v>68557.22881355933</v>
      </c>
      <c r="G32" s="7">
        <f t="shared" si="1"/>
        <v>59336.57642074989</v>
      </c>
      <c r="H32" s="7">
        <f t="shared" si="2"/>
        <v>9220.65239280944</v>
      </c>
      <c r="I32" s="7">
        <f>_XLL.ЧИСТНЗ($B$46,F32:$F$42,B32:$B$42)-F32</f>
        <v>531528.0217091199</v>
      </c>
      <c r="J32" s="7">
        <f t="shared" si="3"/>
        <v>68557.22881355933</v>
      </c>
    </row>
    <row r="33" spans="2:10" ht="15.75">
      <c r="B33" s="5">
        <v>43459</v>
      </c>
      <c r="C33" s="5" t="s">
        <v>11</v>
      </c>
      <c r="D33" s="7">
        <v>79693.72</v>
      </c>
      <c r="E33" s="7">
        <f t="shared" si="0"/>
        <v>12156.669152542372</v>
      </c>
      <c r="F33" s="7">
        <f t="shared" si="4"/>
        <v>67537.05084745763</v>
      </c>
      <c r="G33" s="7">
        <f t="shared" si="1"/>
        <v>59511.94695925689</v>
      </c>
      <c r="H33" s="7">
        <f t="shared" si="2"/>
        <v>8025.1038882007415</v>
      </c>
      <c r="I33" s="7">
        <f>_XLL.ЧИСТНЗ($B$46,F33:$F$42,B33:$B$42)-F33</f>
        <v>472016.074749863</v>
      </c>
      <c r="J33" s="7">
        <f t="shared" si="3"/>
        <v>67537.05084745763</v>
      </c>
    </row>
    <row r="34" spans="2:10" ht="15.75">
      <c r="B34" s="5">
        <v>43490</v>
      </c>
      <c r="C34" s="5" t="s">
        <v>11</v>
      </c>
      <c r="D34" s="7">
        <v>78489.9</v>
      </c>
      <c r="E34" s="7">
        <f t="shared" si="0"/>
        <v>11973.035593220338</v>
      </c>
      <c r="F34" s="7">
        <f t="shared" si="4"/>
        <v>66516.86440677966</v>
      </c>
      <c r="G34" s="7">
        <f t="shared" si="1"/>
        <v>59150.88552961865</v>
      </c>
      <c r="H34" s="7">
        <f t="shared" si="2"/>
        <v>7365.978877161004</v>
      </c>
      <c r="I34" s="7">
        <f>_XLL.ЧИСТНЗ($B$46,F34:$F$42,B34:$B$42)-F34</f>
        <v>412865.18922024436</v>
      </c>
      <c r="J34" s="7">
        <f t="shared" si="3"/>
        <v>66516.86440677966</v>
      </c>
    </row>
    <row r="35" spans="2:10" ht="15.75">
      <c r="B35" s="5">
        <v>43521</v>
      </c>
      <c r="C35" s="5" t="s">
        <v>11</v>
      </c>
      <c r="D35" s="7">
        <v>77286.09</v>
      </c>
      <c r="E35" s="7">
        <f t="shared" si="0"/>
        <v>11789.403559322032</v>
      </c>
      <c r="F35" s="7">
        <f t="shared" si="4"/>
        <v>65496.686440677964</v>
      </c>
      <c r="G35" s="7">
        <f t="shared" si="1"/>
        <v>59053.77818904066</v>
      </c>
      <c r="H35" s="7">
        <f t="shared" si="2"/>
        <v>6442.908251637302</v>
      </c>
      <c r="I35" s="7">
        <f>_XLL.ЧИСТНЗ($B$46,F35:$F$42,B35:$B$42)-F35</f>
        <v>353811.4110312037</v>
      </c>
      <c r="J35" s="7">
        <f t="shared" si="3"/>
        <v>65496.686440677964</v>
      </c>
    </row>
    <row r="36" spans="2:10" ht="15.75">
      <c r="B36" s="5">
        <v>43549</v>
      </c>
      <c r="C36" s="5" t="s">
        <v>11</v>
      </c>
      <c r="D36" s="7">
        <v>76082.27</v>
      </c>
      <c r="E36" s="7">
        <f t="shared" si="0"/>
        <v>11605.77</v>
      </c>
      <c r="F36" s="7">
        <f t="shared" si="4"/>
        <v>64476.5</v>
      </c>
      <c r="G36" s="7">
        <f t="shared" si="1"/>
        <v>59493.21584985335</v>
      </c>
      <c r="H36" s="7">
        <f t="shared" si="2"/>
        <v>4983.284150146646</v>
      </c>
      <c r="I36" s="7">
        <f>_XLL.ЧИСТНЗ($B$46,F36:$F$42,B36:$B$42)-F36</f>
        <v>294318.19518135034</v>
      </c>
      <c r="J36" s="7">
        <f t="shared" si="3"/>
        <v>64476.5</v>
      </c>
    </row>
    <row r="37" spans="2:10" ht="15.75">
      <c r="B37" s="5">
        <v>43580</v>
      </c>
      <c r="C37" s="5" t="s">
        <v>11</v>
      </c>
      <c r="D37" s="7">
        <v>74878.45</v>
      </c>
      <c r="E37" s="7">
        <f t="shared" si="0"/>
        <v>11422.136440677965</v>
      </c>
      <c r="F37" s="7">
        <f t="shared" si="4"/>
        <v>63456.313559322036</v>
      </c>
      <c r="G37" s="7">
        <f t="shared" si="1"/>
        <v>58863.37335062504</v>
      </c>
      <c r="H37" s="7">
        <f t="shared" si="2"/>
        <v>4592.940208696993</v>
      </c>
      <c r="I37" s="7">
        <f>_XLL.ЧИСТНЗ($B$46,F37:$F$42,B37:$B$42)-F37</f>
        <v>235454.8218307253</v>
      </c>
      <c r="J37" s="7">
        <f t="shared" si="3"/>
        <v>63456.313559322036</v>
      </c>
    </row>
    <row r="38" spans="2:10" ht="15.75">
      <c r="B38" s="5">
        <v>43610</v>
      </c>
      <c r="C38" s="5" t="s">
        <v>11</v>
      </c>
      <c r="D38" s="7">
        <v>73674.64</v>
      </c>
      <c r="E38" s="7">
        <f t="shared" si="0"/>
        <v>11238.50440677966</v>
      </c>
      <c r="F38" s="7">
        <f t="shared" si="4"/>
        <v>62436.13559322034</v>
      </c>
      <c r="G38" s="7">
        <f t="shared" si="1"/>
        <v>58881.1971346729</v>
      </c>
      <c r="H38" s="7">
        <f t="shared" si="2"/>
        <v>3554.93845854744</v>
      </c>
      <c r="I38" s="7">
        <f>_XLL.ЧИСТНЗ($B$46,F38:$F$42,B38:$B$42)-F38</f>
        <v>176573.6246960524</v>
      </c>
      <c r="J38" s="7">
        <f t="shared" si="3"/>
        <v>62436.13559322034</v>
      </c>
    </row>
    <row r="39" spans="2:10" ht="15.75">
      <c r="B39" s="5">
        <v>43641</v>
      </c>
      <c r="C39" s="5" t="s">
        <v>11</v>
      </c>
      <c r="D39" s="7">
        <v>72470.82</v>
      </c>
      <c r="E39" s="7">
        <f t="shared" si="0"/>
        <v>11054.870847457629</v>
      </c>
      <c r="F39" s="7">
        <f t="shared" si="4"/>
        <v>61415.94915254238</v>
      </c>
      <c r="G39" s="7">
        <f t="shared" si="1"/>
        <v>58660.45488158114</v>
      </c>
      <c r="H39" s="7">
        <f t="shared" si="2"/>
        <v>2755.494270961237</v>
      </c>
      <c r="I39" s="7">
        <f>_XLL.ЧИСТНЗ($B$46,F39:$F$42,B39:$B$42)-F39</f>
        <v>117913.16981447126</v>
      </c>
      <c r="J39" s="7">
        <f t="shared" si="3"/>
        <v>61415.94915254238</v>
      </c>
    </row>
    <row r="40" spans="2:10" ht="15.75">
      <c r="B40" s="5">
        <v>43671</v>
      </c>
      <c r="C40" s="5" t="s">
        <v>11</v>
      </c>
      <c r="D40" s="7">
        <v>71267</v>
      </c>
      <c r="E40" s="7">
        <f t="shared" si="0"/>
        <v>10871.237288135593</v>
      </c>
      <c r="F40" s="7">
        <f t="shared" si="4"/>
        <v>60395.76271186441</v>
      </c>
      <c r="G40" s="7">
        <f t="shared" si="1"/>
        <v>58615.48886194491</v>
      </c>
      <c r="H40" s="7">
        <f t="shared" si="2"/>
        <v>1780.2738499194966</v>
      </c>
      <c r="I40" s="7">
        <f>_XLL.ЧИСТНЗ($B$46,F40:$F$42,B40:$B$42)-F40</f>
        <v>59297.680952526345</v>
      </c>
      <c r="J40" s="7">
        <f t="shared" si="3"/>
        <v>60395.76271186441</v>
      </c>
    </row>
    <row r="41" spans="2:10" ht="15.75">
      <c r="B41" s="5">
        <v>43702</v>
      </c>
      <c r="C41" s="5" t="s">
        <v>11</v>
      </c>
      <c r="D41" s="7">
        <v>70063.19</v>
      </c>
      <c r="E41" s="7">
        <f t="shared" si="0"/>
        <v>10687.605254237287</v>
      </c>
      <c r="F41" s="7">
        <f t="shared" si="4"/>
        <v>59375.58474576272</v>
      </c>
      <c r="G41" s="7">
        <f t="shared" si="1"/>
        <v>58450.2233254077</v>
      </c>
      <c r="H41" s="7">
        <f t="shared" si="2"/>
        <v>925.3614203550169</v>
      </c>
      <c r="I41" s="7">
        <f>_XLL.ЧИСТНЗ($B$46,F41:$F$42,B41:$B$42)-F41</f>
        <v>847.4576271186452</v>
      </c>
      <c r="J41" s="7">
        <f t="shared" si="3"/>
        <v>59375.58474576272</v>
      </c>
    </row>
    <row r="42" spans="2:10" ht="15.75">
      <c r="B42" s="5">
        <v>43702</v>
      </c>
      <c r="C42" s="5" t="s">
        <v>12</v>
      </c>
      <c r="D42" s="7">
        <v>1000</v>
      </c>
      <c r="E42" s="7">
        <f t="shared" si="0"/>
        <v>152.54237288135593</v>
      </c>
      <c r="F42" s="7">
        <f t="shared" si="4"/>
        <v>847.457627118644</v>
      </c>
      <c r="G42" s="7">
        <f t="shared" si="1"/>
        <v>847.4576271186452</v>
      </c>
      <c r="H42" s="8">
        <f t="shared" si="2"/>
        <v>-1.1368683772161603E-12</v>
      </c>
      <c r="I42" s="7">
        <f>_XLL.ЧИСТНЗ($B$46,F42:$F$42,B42:$B$42)-F42</f>
        <v>0</v>
      </c>
      <c r="J42" s="7">
        <f t="shared" si="3"/>
        <v>847.457627118644</v>
      </c>
    </row>
    <row r="43" spans="2:10" s="9" customFormat="1" ht="15.75">
      <c r="B43" s="10"/>
      <c r="C43" s="10"/>
      <c r="D43" s="11"/>
      <c r="E43" s="11"/>
      <c r="F43" s="11"/>
      <c r="G43" s="11"/>
      <c r="H43" s="11"/>
      <c r="I43" s="11"/>
      <c r="J43" s="11"/>
    </row>
    <row r="44" spans="2:10" ht="16.5" thickBot="1">
      <c r="B44" s="12" t="s">
        <v>4</v>
      </c>
      <c r="C44" s="13"/>
      <c r="D44" s="13"/>
      <c r="E44" s="13"/>
      <c r="F44" s="14"/>
      <c r="G44" s="14">
        <f>SUM(G5:G43)</f>
        <v>2672723.1627704105</v>
      </c>
      <c r="H44" s="14">
        <f>SUM(H5:H43)</f>
        <v>691276.3202804367</v>
      </c>
      <c r="I44" s="13"/>
      <c r="J44" s="14">
        <f>SUM(J5:J42)</f>
        <v>4020609.6525423727</v>
      </c>
    </row>
    <row r="45" ht="15.75" thickTop="1"/>
    <row r="46" spans="2:8" ht="15">
      <c r="B46" s="15">
        <v>0.2</v>
      </c>
      <c r="C46" s="1" t="s">
        <v>13</v>
      </c>
      <c r="F46" s="1" t="s">
        <v>14</v>
      </c>
      <c r="H46" s="16">
        <f>G44+H44</f>
        <v>3363999.4830508474</v>
      </c>
    </row>
  </sheetData>
  <sheetProtection/>
  <mergeCells count="4">
    <mergeCell ref="B2:B3"/>
    <mergeCell ref="C2:C3"/>
    <mergeCell ref="D2:H2"/>
    <mergeCell ref="I2:I3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zoomScalePageLayoutView="0" workbookViewId="0" topLeftCell="A31">
      <selection activeCell="K9" sqref="K9"/>
    </sheetView>
  </sheetViews>
  <sheetFormatPr defaultColWidth="9.140625" defaultRowHeight="15" outlineLevelCol="1"/>
  <cols>
    <col min="1" max="1" width="3.00390625" style="1" customWidth="1"/>
    <col min="2" max="2" width="11.28125" style="1" bestFit="1" customWidth="1"/>
    <col min="3" max="3" width="15.00390625" style="1" bestFit="1" customWidth="1"/>
    <col min="4" max="4" width="13.7109375" style="1" bestFit="1" customWidth="1"/>
    <col min="5" max="5" width="13.421875" style="1" bestFit="1" customWidth="1"/>
    <col min="6" max="9" width="13.7109375" style="1" bestFit="1" customWidth="1"/>
    <col min="10" max="10" width="13.7109375" style="1" customWidth="1"/>
    <col min="11" max="11" width="16.28125" style="1" customWidth="1"/>
    <col min="12" max="12" width="17.57421875" style="1" bestFit="1" customWidth="1"/>
    <col min="13" max="13" width="16.7109375" style="1" customWidth="1"/>
    <col min="14" max="14" width="13.7109375" style="1" customWidth="1" outlineLevel="1"/>
    <col min="15" max="16384" width="9.140625" style="1" customWidth="1"/>
  </cols>
  <sheetData>
    <row r="1" ht="10.5" customHeight="1"/>
    <row r="2" spans="2:14" ht="33" customHeight="1">
      <c r="B2" s="83" t="s">
        <v>0</v>
      </c>
      <c r="C2" s="83" t="s">
        <v>1</v>
      </c>
      <c r="D2" s="85" t="s">
        <v>2</v>
      </c>
      <c r="E2" s="86"/>
      <c r="F2" s="86"/>
      <c r="G2" s="86"/>
      <c r="H2" s="87"/>
      <c r="I2" s="90" t="s">
        <v>71</v>
      </c>
      <c r="J2" s="90"/>
      <c r="K2" s="88" t="s">
        <v>82</v>
      </c>
      <c r="L2" s="90" t="s">
        <v>96</v>
      </c>
      <c r="M2" s="90"/>
      <c r="N2" s="2"/>
    </row>
    <row r="3" spans="2:14" ht="31.5">
      <c r="B3" s="84"/>
      <c r="C3" s="84"/>
      <c r="D3" s="66" t="s">
        <v>4</v>
      </c>
      <c r="E3" s="66" t="s">
        <v>5</v>
      </c>
      <c r="F3" s="66" t="s">
        <v>6</v>
      </c>
      <c r="G3" s="66" t="s">
        <v>7</v>
      </c>
      <c r="H3" s="66" t="s">
        <v>8</v>
      </c>
      <c r="I3" s="66" t="s">
        <v>81</v>
      </c>
      <c r="J3" s="66" t="s">
        <v>5</v>
      </c>
      <c r="K3" s="89"/>
      <c r="L3" s="67" t="s">
        <v>17</v>
      </c>
      <c r="M3" s="67" t="s">
        <v>18</v>
      </c>
      <c r="N3" s="2"/>
    </row>
    <row r="4" spans="2:14" ht="30" customHeight="1">
      <c r="B4" s="22"/>
      <c r="C4" s="22"/>
      <c r="D4" s="23"/>
      <c r="E4" s="23"/>
      <c r="F4" s="24"/>
      <c r="G4" s="23"/>
      <c r="H4" s="23"/>
      <c r="I4" s="23"/>
      <c r="J4" s="23"/>
      <c r="K4" s="27" t="s">
        <v>76</v>
      </c>
      <c r="L4" s="26" t="s">
        <v>83</v>
      </c>
      <c r="M4" s="27" t="s">
        <v>75</v>
      </c>
      <c r="N4" s="2"/>
    </row>
    <row r="5" spans="2:14" ht="15.75">
      <c r="B5" s="5">
        <v>42607</v>
      </c>
      <c r="C5" s="5" t="s">
        <v>19</v>
      </c>
      <c r="D5" s="6">
        <v>30000</v>
      </c>
      <c r="E5" s="7">
        <v>0</v>
      </c>
      <c r="F5" s="7">
        <f>D5-E5</f>
        <v>30000</v>
      </c>
      <c r="G5" s="7">
        <v>0</v>
      </c>
      <c r="H5" s="7">
        <v>0</v>
      </c>
      <c r="I5" s="7">
        <v>0</v>
      </c>
      <c r="J5" s="7">
        <v>0</v>
      </c>
      <c r="K5" s="30">
        <v>0</v>
      </c>
      <c r="L5" s="28"/>
      <c r="M5" s="29"/>
      <c r="N5" s="2"/>
    </row>
    <row r="6" spans="1:14" ht="15.75">
      <c r="A6" s="1" t="s">
        <v>9</v>
      </c>
      <c r="B6" s="5">
        <v>42607</v>
      </c>
      <c r="C6" s="5" t="s">
        <v>10</v>
      </c>
      <c r="D6" s="6">
        <v>774800</v>
      </c>
      <c r="E6" s="7">
        <f aca="true" t="shared" si="0" ref="E6:E45">D6*18/118</f>
        <v>118189.83050847458</v>
      </c>
      <c r="F6" s="7">
        <f>D6-E6</f>
        <v>656610.1694915254</v>
      </c>
      <c r="G6" s="7">
        <v>0</v>
      </c>
      <c r="H6" s="7">
        <v>0</v>
      </c>
      <c r="I6" s="7">
        <v>0</v>
      </c>
      <c r="J6" s="7">
        <v>0</v>
      </c>
      <c r="K6" s="7">
        <f>_XLL.ЧИСТНЗ($B$50,F6:$F$45,B6:$B$45)-F6</f>
        <v>2672723.1627704105</v>
      </c>
      <c r="L6" s="7">
        <f>K6+F6+F5</f>
        <v>3359333.332261936</v>
      </c>
      <c r="M6" s="7"/>
      <c r="N6" s="5">
        <v>44433</v>
      </c>
    </row>
    <row r="7" spans="2:15" ht="15.75">
      <c r="B7" s="17">
        <v>42613</v>
      </c>
      <c r="C7" s="17" t="s">
        <v>15</v>
      </c>
      <c r="D7" s="18">
        <v>0</v>
      </c>
      <c r="E7" s="19">
        <v>0</v>
      </c>
      <c r="F7" s="19">
        <v>0</v>
      </c>
      <c r="G7" s="19">
        <v>0</v>
      </c>
      <c r="H7" s="19">
        <v>0</v>
      </c>
      <c r="I7" s="19">
        <f>F7-(K6-K7)</f>
        <v>8022.345301704481</v>
      </c>
      <c r="J7" s="19">
        <f>I7*18%</f>
        <v>1444.0221543068067</v>
      </c>
      <c r="K7" s="19">
        <f>_XLL.ЧИСТНЗ($B$50,F7:$F$45,B7:$B$45)-F7</f>
        <v>2680745.508072115</v>
      </c>
      <c r="L7" s="19">
        <f>$L$6</f>
        <v>3359333.332261936</v>
      </c>
      <c r="M7" s="19">
        <f>(B7-$B$6)/$N$7*L7</f>
        <v>11038.335155296612</v>
      </c>
      <c r="N7" s="7">
        <f>N6-B6</f>
        <v>1826</v>
      </c>
      <c r="O7" s="48"/>
    </row>
    <row r="8" spans="2:14" ht="15.75">
      <c r="B8" s="5">
        <v>42638</v>
      </c>
      <c r="C8" s="5" t="s">
        <v>11</v>
      </c>
      <c r="D8" s="7">
        <v>153116.48</v>
      </c>
      <c r="E8" s="7">
        <f t="shared" si="0"/>
        <v>23356.75118644068</v>
      </c>
      <c r="F8" s="7">
        <f>D8-E8</f>
        <v>129759.72881355933</v>
      </c>
      <c r="G8" s="7">
        <f>K6-K8</f>
        <v>88050.93240890699</v>
      </c>
      <c r="H8" s="7">
        <f>F8-(K6-K8)</f>
        <v>41708.79640465234</v>
      </c>
      <c r="I8" s="7">
        <f>H8-I7</f>
        <v>33686.45110294786</v>
      </c>
      <c r="J8" s="7">
        <f>I8*18%</f>
        <v>6063.561198530615</v>
      </c>
      <c r="K8" s="7">
        <f>_XLL.ЧИСТНЗ($B$50,F8:$F$45,B8:$B$45)-F8</f>
        <v>2584672.2303615035</v>
      </c>
      <c r="L8" s="7"/>
      <c r="M8" s="7"/>
      <c r="N8" s="7"/>
    </row>
    <row r="9" spans="2:14" ht="15.75">
      <c r="B9" s="17">
        <v>42643</v>
      </c>
      <c r="C9" s="17" t="s">
        <v>15</v>
      </c>
      <c r="D9" s="18">
        <v>0</v>
      </c>
      <c r="E9" s="19">
        <v>0</v>
      </c>
      <c r="F9" s="19">
        <v>0</v>
      </c>
      <c r="G9" s="19">
        <v>0</v>
      </c>
      <c r="H9" s="19">
        <v>0</v>
      </c>
      <c r="I9" s="19">
        <f>F9-(K8-K9)</f>
        <v>6463.430560793728</v>
      </c>
      <c r="J9" s="19">
        <f>I9*18%</f>
        <v>1163.417500942871</v>
      </c>
      <c r="K9" s="19">
        <f>_XLL.ЧИСТНЗ($B$50,F9:$F$45,B9:$B$45)-F9</f>
        <v>2591135.6609222973</v>
      </c>
      <c r="L9" s="19">
        <f>$L$6</f>
        <v>3359333.332261936</v>
      </c>
      <c r="M9" s="19">
        <f>(B9-$B$6)/$N$7*L9</f>
        <v>66230.01093177967</v>
      </c>
      <c r="N9" s="7">
        <f>L9/N7*N10</f>
        <v>55191.67577648307</v>
      </c>
    </row>
    <row r="10" spans="2:14" ht="15.75">
      <c r="B10" s="5">
        <v>42668</v>
      </c>
      <c r="C10" s="5" t="s">
        <v>11</v>
      </c>
      <c r="D10" s="7">
        <v>151551.81</v>
      </c>
      <c r="E10" s="7">
        <f t="shared" si="0"/>
        <v>23118.072711864406</v>
      </c>
      <c r="F10" s="7">
        <f aca="true" t="shared" si="1" ref="F10:F46">D10-E10</f>
        <v>128433.7372881356</v>
      </c>
      <c r="G10" s="7">
        <f>K8-K10</f>
        <v>89409.89975102525</v>
      </c>
      <c r="H10" s="7">
        <f>F10-(K8-K10)</f>
        <v>39023.83753711035</v>
      </c>
      <c r="I10" s="7"/>
      <c r="J10" s="7"/>
      <c r="K10" s="7">
        <f>_XLL.ЧИСТНЗ($B$50,F10:$F$45,B10:$B$45)-F10</f>
        <v>2495262.3306104783</v>
      </c>
      <c r="L10" s="7"/>
      <c r="M10" s="7"/>
      <c r="N10" s="7">
        <f>B9-B7</f>
        <v>30</v>
      </c>
    </row>
    <row r="11" spans="2:14" ht="15.75">
      <c r="B11" s="5">
        <v>42699</v>
      </c>
      <c r="C11" s="5" t="s">
        <v>11</v>
      </c>
      <c r="D11" s="7">
        <v>149987.15</v>
      </c>
      <c r="E11" s="7">
        <f t="shared" si="0"/>
        <v>22879.39576271186</v>
      </c>
      <c r="F11" s="7">
        <f t="shared" si="1"/>
        <v>127107.75423728813</v>
      </c>
      <c r="G11" s="7">
        <f>K10-K11</f>
        <v>88168.29729190329</v>
      </c>
      <c r="H11" s="7">
        <f>F11-(K10-K11)</f>
        <v>38939.45694538484</v>
      </c>
      <c r="I11" s="7"/>
      <c r="J11" s="7"/>
      <c r="K11" s="7">
        <f>_XLL.ЧИСТНЗ($B$50,F11:$F$45,B11:$B$45)-F11</f>
        <v>2407094.033318575</v>
      </c>
      <c r="L11" s="7"/>
      <c r="M11" s="7"/>
      <c r="N11" s="7"/>
    </row>
    <row r="12" spans="2:14" ht="15.75">
      <c r="B12" s="5">
        <v>42729</v>
      </c>
      <c r="C12" s="5" t="s">
        <v>11</v>
      </c>
      <c r="D12" s="7">
        <v>148422.48</v>
      </c>
      <c r="E12" s="7">
        <f t="shared" si="0"/>
        <v>22640.717288135595</v>
      </c>
      <c r="F12" s="7">
        <f t="shared" si="1"/>
        <v>125781.76271186442</v>
      </c>
      <c r="G12" s="7">
        <f>K11-K12</f>
        <v>89439.03213683981</v>
      </c>
      <c r="H12" s="7">
        <f>F12-(K11-K12)</f>
        <v>36342.7305750246</v>
      </c>
      <c r="I12" s="7"/>
      <c r="J12" s="7"/>
      <c r="K12" s="7">
        <f>_XLL.ЧИСТНЗ($B$50,F12:$F$45,B12:$B$45)-F12</f>
        <v>2317655.001181735</v>
      </c>
      <c r="L12" s="7"/>
      <c r="M12" s="7"/>
      <c r="N12" s="7"/>
    </row>
    <row r="13" spans="2:14" ht="15.75">
      <c r="B13" s="5">
        <v>42760</v>
      </c>
      <c r="C13" s="5" t="s">
        <v>11</v>
      </c>
      <c r="D13" s="7">
        <v>146857.82</v>
      </c>
      <c r="E13" s="7">
        <f t="shared" si="0"/>
        <v>22402.040338983054</v>
      </c>
      <c r="F13" s="7">
        <f t="shared" si="1"/>
        <v>124455.77966101695</v>
      </c>
      <c r="G13" s="7">
        <f>K12-K13</f>
        <v>88287.94831692986</v>
      </c>
      <c r="H13" s="7">
        <f>F13-(K12-K13)</f>
        <v>36167.831344087084</v>
      </c>
      <c r="I13" s="7"/>
      <c r="J13" s="7"/>
      <c r="K13" s="7">
        <f>_XLL.ЧИСТНЗ($B$50,F13:$F$45,B13:$B$45)-F13</f>
        <v>2229367.0528648053</v>
      </c>
      <c r="L13" s="7"/>
      <c r="M13" s="7"/>
      <c r="N13" s="7"/>
    </row>
    <row r="14" spans="2:14" ht="15.75">
      <c r="B14" s="5">
        <v>42791</v>
      </c>
      <c r="C14" s="5" t="s">
        <v>11</v>
      </c>
      <c r="D14" s="7">
        <v>145293.15</v>
      </c>
      <c r="E14" s="7">
        <f t="shared" si="0"/>
        <v>22163.361864406776</v>
      </c>
      <c r="F14" s="7">
        <f t="shared" si="1"/>
        <v>123129.78813559322</v>
      </c>
      <c r="G14" s="7">
        <f>K13-K14</f>
        <v>88339.72165418603</v>
      </c>
      <c r="H14" s="7">
        <f>F14-(K13-K14)</f>
        <v>34790.06648140719</v>
      </c>
      <c r="I14" s="7"/>
      <c r="J14" s="7"/>
      <c r="K14" s="7">
        <f>_XLL.ЧИСТНЗ($B$50,F14:$F$45,B14:$B$45)-F14</f>
        <v>2141027.3312106193</v>
      </c>
      <c r="L14" s="7"/>
      <c r="M14" s="7"/>
      <c r="N14" s="7"/>
    </row>
    <row r="15" spans="2:14" ht="15.75">
      <c r="B15" s="5">
        <v>42819</v>
      </c>
      <c r="C15" s="5" t="s">
        <v>11</v>
      </c>
      <c r="D15" s="7">
        <v>143728.49</v>
      </c>
      <c r="E15" s="7">
        <f t="shared" si="0"/>
        <v>21924.684915254235</v>
      </c>
      <c r="F15" s="7">
        <f t="shared" si="1"/>
        <v>121803.80508474575</v>
      </c>
      <c r="G15" s="7">
        <f aca="true" t="shared" si="2" ref="G15:G45">K14-K15</f>
        <v>91648.3402466951</v>
      </c>
      <c r="H15" s="7">
        <f aca="true" t="shared" si="3" ref="H15:H45">F15-(K14-K15)</f>
        <v>30155.464838050655</v>
      </c>
      <c r="I15" s="7"/>
      <c r="J15" s="7"/>
      <c r="K15" s="7">
        <f>_XLL.ЧИСТНЗ($B$50,F15:$F$45,B15:$B$45)-F15</f>
        <v>2049378.9909639242</v>
      </c>
      <c r="L15" s="7"/>
      <c r="M15" s="7"/>
      <c r="N15" s="7"/>
    </row>
    <row r="16" spans="2:14" ht="15.75">
      <c r="B16" s="5">
        <v>42850</v>
      </c>
      <c r="C16" s="5" t="s">
        <v>11</v>
      </c>
      <c r="D16" s="7">
        <v>142163.82</v>
      </c>
      <c r="E16" s="7">
        <f t="shared" si="0"/>
        <v>21686.006440677967</v>
      </c>
      <c r="F16" s="7">
        <f t="shared" si="1"/>
        <v>120477.81355932204</v>
      </c>
      <c r="G16" s="7">
        <f t="shared" si="2"/>
        <v>88496.52485694597</v>
      </c>
      <c r="H16" s="7">
        <f t="shared" si="3"/>
        <v>31981.28870237607</v>
      </c>
      <c r="I16" s="7"/>
      <c r="J16" s="7"/>
      <c r="K16" s="7">
        <f>_XLL.ЧИСТНЗ($B$50,F16:$F$45,B16:$B$45)-F16</f>
        <v>1960882.4661069782</v>
      </c>
      <c r="L16" s="7"/>
      <c r="M16" s="7"/>
      <c r="N16" s="7"/>
    </row>
    <row r="17" spans="2:14" ht="15.75">
      <c r="B17" s="5">
        <v>42880</v>
      </c>
      <c r="C17" s="5" t="s">
        <v>11</v>
      </c>
      <c r="D17" s="7">
        <v>140599.16</v>
      </c>
      <c r="E17" s="7">
        <f t="shared" si="0"/>
        <v>21447.329491525423</v>
      </c>
      <c r="F17" s="7">
        <f t="shared" si="1"/>
        <v>119151.83050847458</v>
      </c>
      <c r="G17" s="7">
        <f t="shared" si="2"/>
        <v>89546.08093301416</v>
      </c>
      <c r="H17" s="7">
        <f t="shared" si="3"/>
        <v>29605.749575460417</v>
      </c>
      <c r="I17" s="7"/>
      <c r="J17" s="7"/>
      <c r="K17" s="7">
        <f>_XLL.ЧИСТНЗ($B$50,F17:$F$45,B17:$B$45)-F17</f>
        <v>1871336.385173964</v>
      </c>
      <c r="L17" s="7"/>
      <c r="M17" s="7"/>
      <c r="N17" s="7"/>
    </row>
    <row r="18" spans="2:14" ht="15.75">
      <c r="B18" s="5">
        <v>42911</v>
      </c>
      <c r="C18" s="5" t="s">
        <v>11</v>
      </c>
      <c r="D18" s="7">
        <v>139034.49</v>
      </c>
      <c r="E18" s="7">
        <f t="shared" si="0"/>
        <v>21208.651016949152</v>
      </c>
      <c r="F18" s="7">
        <f t="shared" si="1"/>
        <v>117825.83898305084</v>
      </c>
      <c r="G18" s="7">
        <f t="shared" si="2"/>
        <v>88622.96852454264</v>
      </c>
      <c r="H18" s="7">
        <f t="shared" si="3"/>
        <v>29202.8704585082</v>
      </c>
      <c r="I18" s="7"/>
      <c r="J18" s="7"/>
      <c r="K18" s="7">
        <f>_XLL.ЧИСТНЗ($B$50,F18:$F$45,B18:$B$45)-F18</f>
        <v>1782713.4166494214</v>
      </c>
      <c r="L18" s="7"/>
      <c r="M18" s="7"/>
      <c r="N18" s="7"/>
    </row>
    <row r="19" spans="2:14" ht="15.75">
      <c r="B19" s="5">
        <v>42941</v>
      </c>
      <c r="C19" s="5" t="s">
        <v>11</v>
      </c>
      <c r="D19" s="7">
        <v>137469.83</v>
      </c>
      <c r="E19" s="7">
        <f t="shared" si="0"/>
        <v>20969.97406779661</v>
      </c>
      <c r="F19" s="7">
        <f t="shared" si="1"/>
        <v>116499.85593220338</v>
      </c>
      <c r="G19" s="7">
        <f t="shared" si="2"/>
        <v>89584.13411287381</v>
      </c>
      <c r="H19" s="7">
        <f t="shared" si="3"/>
        <v>26915.72181932957</v>
      </c>
      <c r="I19" s="7"/>
      <c r="J19" s="7"/>
      <c r="K19" s="7">
        <f>_XLL.ЧИСТНЗ($B$50,F19:$F$45,B19:$B$45)-F19</f>
        <v>1693129.2825365476</v>
      </c>
      <c r="L19" s="7"/>
      <c r="M19" s="7"/>
      <c r="N19" s="7"/>
    </row>
    <row r="20" spans="2:14" ht="15.75">
      <c r="B20" s="5">
        <v>42972</v>
      </c>
      <c r="C20" s="5" t="s">
        <v>11</v>
      </c>
      <c r="D20" s="7">
        <v>135905.16</v>
      </c>
      <c r="E20" s="7">
        <f t="shared" si="0"/>
        <v>20731.295593220337</v>
      </c>
      <c r="F20" s="7">
        <f t="shared" si="1"/>
        <v>115173.86440677967</v>
      </c>
      <c r="G20" s="7">
        <f t="shared" si="2"/>
        <v>88751.97922400106</v>
      </c>
      <c r="H20" s="7">
        <f t="shared" si="3"/>
        <v>26421.885182778613</v>
      </c>
      <c r="I20" s="7"/>
      <c r="J20" s="7"/>
      <c r="K20" s="7">
        <f>_XLL.ЧИСТНЗ($B$50,F20:$F$45,B20:$B$45)-F20</f>
        <v>1604377.3033125466</v>
      </c>
      <c r="L20" s="7"/>
      <c r="M20" s="7"/>
      <c r="N20" s="7"/>
    </row>
    <row r="21" spans="2:14" ht="15.75">
      <c r="B21" s="5">
        <v>43003</v>
      </c>
      <c r="C21" s="5" t="s">
        <v>11</v>
      </c>
      <c r="D21" s="7">
        <v>117128.28</v>
      </c>
      <c r="E21" s="7">
        <f t="shared" si="0"/>
        <v>17867.025762711866</v>
      </c>
      <c r="F21" s="7">
        <f t="shared" si="1"/>
        <v>99261.25423728813</v>
      </c>
      <c r="G21" s="7">
        <f t="shared" si="2"/>
        <v>74224.3752846818</v>
      </c>
      <c r="H21" s="7">
        <f t="shared" si="3"/>
        <v>25036.878952606334</v>
      </c>
      <c r="I21" s="7"/>
      <c r="J21" s="7"/>
      <c r="K21" s="7">
        <f>_XLL.ЧИСТНЗ($B$50,F21:$F$45,B21:$B$45)-F21</f>
        <v>1530152.9280278648</v>
      </c>
      <c r="L21" s="7"/>
      <c r="M21" s="7"/>
      <c r="N21" s="7"/>
    </row>
    <row r="22" spans="2:14" ht="15.75">
      <c r="B22" s="5">
        <v>43033</v>
      </c>
      <c r="C22" s="5" t="s">
        <v>11</v>
      </c>
      <c r="D22" s="7">
        <v>115744.04</v>
      </c>
      <c r="E22" s="7">
        <f t="shared" si="0"/>
        <v>17655.870508474574</v>
      </c>
      <c r="F22" s="7">
        <f t="shared" si="1"/>
        <v>98088.16949152542</v>
      </c>
      <c r="G22" s="7">
        <f t="shared" si="2"/>
        <v>74985.6505071579</v>
      </c>
      <c r="H22" s="7">
        <f t="shared" si="3"/>
        <v>23102.518984367518</v>
      </c>
      <c r="I22" s="7"/>
      <c r="J22" s="7"/>
      <c r="K22" s="7">
        <f>_XLL.ЧИСТНЗ($B$50,F22:$F$45,B22:$B$45)-F22</f>
        <v>1455167.2775207069</v>
      </c>
      <c r="L22" s="7"/>
      <c r="M22" s="7"/>
      <c r="N22" s="7"/>
    </row>
    <row r="23" spans="2:14" ht="15.75">
      <c r="B23" s="5">
        <v>43064</v>
      </c>
      <c r="C23" s="5" t="s">
        <v>11</v>
      </c>
      <c r="D23" s="7">
        <v>114359.79</v>
      </c>
      <c r="E23" s="7">
        <f t="shared" si="0"/>
        <v>17444.71372881356</v>
      </c>
      <c r="F23" s="7">
        <f t="shared" si="1"/>
        <v>96915.07627118644</v>
      </c>
      <c r="G23" s="7">
        <f t="shared" si="2"/>
        <v>74206.67288760794</v>
      </c>
      <c r="H23" s="7">
        <f t="shared" si="3"/>
        <v>22708.403383578494</v>
      </c>
      <c r="I23" s="7"/>
      <c r="J23" s="7"/>
      <c r="K23" s="7">
        <f>_XLL.ЧИСТНЗ($B$50,F23:$F$45,B23:$B$45)-F23</f>
        <v>1380960.604633099</v>
      </c>
      <c r="L23" s="7"/>
      <c r="M23" s="7"/>
      <c r="N23" s="7"/>
    </row>
    <row r="24" spans="2:14" ht="15.75">
      <c r="B24" s="5">
        <v>43094</v>
      </c>
      <c r="C24" s="5" t="s">
        <v>11</v>
      </c>
      <c r="D24" s="7">
        <v>112975.55</v>
      </c>
      <c r="E24" s="7">
        <f t="shared" si="0"/>
        <v>17233.55847457627</v>
      </c>
      <c r="F24" s="7">
        <f t="shared" si="1"/>
        <v>95741.99152542373</v>
      </c>
      <c r="G24" s="7">
        <f t="shared" si="2"/>
        <v>74892.00457260408</v>
      </c>
      <c r="H24" s="7">
        <f t="shared" si="3"/>
        <v>20849.986952819643</v>
      </c>
      <c r="I24" s="7"/>
      <c r="J24" s="7"/>
      <c r="K24" s="7">
        <f>_XLL.ЧИСТНЗ($B$50,F24:$F$45,B24:$B$45)-F24</f>
        <v>1306068.6000604948</v>
      </c>
      <c r="L24" s="7"/>
      <c r="M24" s="7"/>
      <c r="N24" s="7"/>
    </row>
    <row r="25" spans="2:14" ht="15.75">
      <c r="B25" s="5">
        <v>43125</v>
      </c>
      <c r="C25" s="5" t="s">
        <v>11</v>
      </c>
      <c r="D25" s="7">
        <v>111591.31</v>
      </c>
      <c r="E25" s="7">
        <f t="shared" si="0"/>
        <v>17022.403220338983</v>
      </c>
      <c r="F25" s="7">
        <f t="shared" si="1"/>
        <v>94568.90677966102</v>
      </c>
      <c r="G25" s="7">
        <f t="shared" si="2"/>
        <v>74187.24133475637</v>
      </c>
      <c r="H25" s="7">
        <f t="shared" si="3"/>
        <v>20381.665444904647</v>
      </c>
      <c r="I25" s="7"/>
      <c r="J25" s="7"/>
      <c r="K25" s="7">
        <f>_XLL.ЧИСТНЗ($B$50,F25:$F$45,B25:$B$45)-F25</f>
        <v>1231881.3587257385</v>
      </c>
      <c r="L25" s="7"/>
      <c r="M25" s="7"/>
      <c r="N25" s="7"/>
    </row>
    <row r="26" spans="2:14" ht="15.75">
      <c r="B26" s="5">
        <v>43156</v>
      </c>
      <c r="C26" s="5" t="s">
        <v>11</v>
      </c>
      <c r="D26" s="7">
        <v>110207.07</v>
      </c>
      <c r="E26" s="7">
        <f t="shared" si="0"/>
        <v>16811.2479661017</v>
      </c>
      <c r="F26" s="7">
        <f t="shared" si="1"/>
        <v>93395.82203389831</v>
      </c>
      <c r="G26" s="7">
        <f t="shared" si="2"/>
        <v>74171.87489957525</v>
      </c>
      <c r="H26" s="7">
        <f t="shared" si="3"/>
        <v>19223.947134323054</v>
      </c>
      <c r="I26" s="7"/>
      <c r="J26" s="7"/>
      <c r="K26" s="7">
        <f>_XLL.ЧИСТНЗ($B$50,F26:$F$45,B26:$B$45)-F26</f>
        <v>1157709.4838261632</v>
      </c>
      <c r="L26" s="7"/>
      <c r="M26" s="7"/>
      <c r="N26" s="7"/>
    </row>
    <row r="27" spans="2:14" ht="15.75">
      <c r="B27" s="5">
        <v>43184</v>
      </c>
      <c r="C27" s="5" t="s">
        <v>11</v>
      </c>
      <c r="D27" s="7">
        <v>108822.83</v>
      </c>
      <c r="E27" s="7">
        <f t="shared" si="0"/>
        <v>16600.092711864407</v>
      </c>
      <c r="F27" s="7">
        <f t="shared" si="1"/>
        <v>92222.7372881356</v>
      </c>
      <c r="G27" s="7">
        <f t="shared" si="2"/>
        <v>75916.88863161369</v>
      </c>
      <c r="H27" s="7">
        <f t="shared" si="3"/>
        <v>16305.848656521906</v>
      </c>
      <c r="I27" s="7"/>
      <c r="J27" s="7"/>
      <c r="K27" s="7">
        <f>_XLL.ЧИСТНЗ($B$50,F27:$F$45,B27:$B$45)-F27</f>
        <v>1081792.5951945495</v>
      </c>
      <c r="L27" s="7"/>
      <c r="M27" s="7"/>
      <c r="N27" s="7"/>
    </row>
    <row r="28" spans="2:14" ht="15.75">
      <c r="B28" s="5">
        <v>43215</v>
      </c>
      <c r="C28" s="5" t="s">
        <v>11</v>
      </c>
      <c r="D28" s="7">
        <v>107438.59</v>
      </c>
      <c r="E28" s="7">
        <f t="shared" si="0"/>
        <v>16388.93745762712</v>
      </c>
      <c r="F28" s="7">
        <f t="shared" si="1"/>
        <v>91049.65254237287</v>
      </c>
      <c r="G28" s="7">
        <f t="shared" si="2"/>
        <v>74167.89399231691</v>
      </c>
      <c r="H28" s="7">
        <f t="shared" si="3"/>
        <v>16881.758550055965</v>
      </c>
      <c r="I28" s="7"/>
      <c r="J28" s="7"/>
      <c r="K28" s="7">
        <f>_XLL.ЧИСТНЗ($B$50,F28:$F$45,B28:$B$45)-F28</f>
        <v>1007624.7012022326</v>
      </c>
      <c r="L28" s="7"/>
      <c r="M28" s="7"/>
      <c r="N28" s="7"/>
    </row>
    <row r="29" spans="2:14" ht="15.75">
      <c r="B29" s="5">
        <v>43245</v>
      </c>
      <c r="C29" s="5" t="s">
        <v>11</v>
      </c>
      <c r="D29" s="7">
        <v>106054.35</v>
      </c>
      <c r="E29" s="7">
        <f t="shared" si="0"/>
        <v>16177.78220338983</v>
      </c>
      <c r="F29" s="7">
        <f t="shared" si="1"/>
        <v>89876.56779661018</v>
      </c>
      <c r="G29" s="7">
        <f t="shared" si="2"/>
        <v>74663.27220879938</v>
      </c>
      <c r="H29" s="7">
        <f t="shared" si="3"/>
        <v>15213.295587810804</v>
      </c>
      <c r="I29" s="7"/>
      <c r="J29" s="7"/>
      <c r="K29" s="7">
        <f>_XLL.ЧИСТНЗ($B$50,F29:$F$45,B29:$B$45)-F29</f>
        <v>932961.4289934332</v>
      </c>
      <c r="L29" s="7"/>
      <c r="M29" s="7"/>
      <c r="N29" s="7"/>
    </row>
    <row r="30" spans="2:14" ht="15.75">
      <c r="B30" s="5">
        <v>43276</v>
      </c>
      <c r="C30" s="5" t="s">
        <v>11</v>
      </c>
      <c r="D30" s="7">
        <v>104670.11</v>
      </c>
      <c r="E30" s="7">
        <f t="shared" si="0"/>
        <v>15966.626949152542</v>
      </c>
      <c r="F30" s="7">
        <f t="shared" si="1"/>
        <v>88703.48305084746</v>
      </c>
      <c r="G30" s="7">
        <f t="shared" si="2"/>
        <v>74144.287831038</v>
      </c>
      <c r="H30" s="7">
        <f t="shared" si="3"/>
        <v>14559.195219809451</v>
      </c>
      <c r="I30" s="7"/>
      <c r="J30" s="7"/>
      <c r="K30" s="7">
        <f>_XLL.ЧИСТНЗ($B$50,F30:$F$45,B30:$B$45)-F30</f>
        <v>858817.1411623952</v>
      </c>
      <c r="L30" s="7"/>
      <c r="M30" s="7"/>
      <c r="N30" s="7"/>
    </row>
    <row r="31" spans="2:14" ht="15.75">
      <c r="B31" s="5">
        <v>43306</v>
      </c>
      <c r="C31" s="5" t="s">
        <v>11</v>
      </c>
      <c r="D31" s="7">
        <v>103285.87</v>
      </c>
      <c r="E31" s="7">
        <f t="shared" si="0"/>
        <v>15755.471694915253</v>
      </c>
      <c r="F31" s="7">
        <f t="shared" si="1"/>
        <v>87530.39830508475</v>
      </c>
      <c r="G31" s="7">
        <f t="shared" si="2"/>
        <v>74563.82552377705</v>
      </c>
      <c r="H31" s="7">
        <f t="shared" si="3"/>
        <v>12966.572781307696</v>
      </c>
      <c r="I31" s="7"/>
      <c r="J31" s="7"/>
      <c r="K31" s="7">
        <f>_XLL.ЧИСТНЗ($B$50,F31:$F$45,B31:$B$45)-F31</f>
        <v>784253.3156386182</v>
      </c>
      <c r="L31" s="7"/>
      <c r="M31" s="7"/>
      <c r="N31" s="7"/>
    </row>
    <row r="32" spans="2:14" ht="15.75">
      <c r="B32" s="5">
        <v>43337</v>
      </c>
      <c r="C32" s="5" t="s">
        <v>11</v>
      </c>
      <c r="D32" s="7">
        <v>101901.63</v>
      </c>
      <c r="E32" s="7">
        <f t="shared" si="0"/>
        <v>15544.316440677967</v>
      </c>
      <c r="F32" s="7">
        <f t="shared" si="1"/>
        <v>86357.31355932204</v>
      </c>
      <c r="G32" s="7">
        <f t="shared" si="2"/>
        <v>74118.7613862867</v>
      </c>
      <c r="H32" s="7">
        <f t="shared" si="3"/>
        <v>12238.552173035336</v>
      </c>
      <c r="I32" s="7"/>
      <c r="J32" s="7"/>
      <c r="K32" s="7">
        <f>_XLL.ЧИСТНЗ($B$50,F32:$F$45,B32:$B$45)-F32</f>
        <v>710134.5542523315</v>
      </c>
      <c r="L32" s="7"/>
      <c r="M32" s="7"/>
      <c r="N32" s="7"/>
    </row>
    <row r="33" spans="2:14" ht="15.75">
      <c r="B33" s="5">
        <v>43368</v>
      </c>
      <c r="C33" s="5" t="s">
        <v>11</v>
      </c>
      <c r="D33" s="7">
        <v>83305.17</v>
      </c>
      <c r="E33" s="7">
        <f t="shared" si="0"/>
        <v>12707.568305084746</v>
      </c>
      <c r="F33" s="7">
        <f t="shared" si="1"/>
        <v>70597.60169491525</v>
      </c>
      <c r="G33" s="7">
        <f t="shared" si="2"/>
        <v>59515.699178487645</v>
      </c>
      <c r="H33" s="7">
        <f t="shared" si="3"/>
        <v>11081.90251642761</v>
      </c>
      <c r="I33" s="7"/>
      <c r="J33" s="7"/>
      <c r="K33" s="7">
        <f>_XLL.ЧИСТНЗ($B$50,F33:$F$45,B33:$B$45)-F33</f>
        <v>650618.8550738438</v>
      </c>
      <c r="L33" s="7"/>
      <c r="M33" s="7"/>
      <c r="N33" s="7"/>
    </row>
    <row r="34" spans="2:14" ht="15.75">
      <c r="B34" s="5">
        <v>43398</v>
      </c>
      <c r="C34" s="5" t="s">
        <v>11</v>
      </c>
      <c r="D34" s="7">
        <v>82101.35</v>
      </c>
      <c r="E34" s="7">
        <f t="shared" si="0"/>
        <v>12523.934745762712</v>
      </c>
      <c r="F34" s="7">
        <f t="shared" si="1"/>
        <v>69577.41525423729</v>
      </c>
      <c r="G34" s="7">
        <f t="shared" si="2"/>
        <v>59754.25694397406</v>
      </c>
      <c r="H34" s="7">
        <f t="shared" si="3"/>
        <v>9823.158310263228</v>
      </c>
      <c r="I34" s="7"/>
      <c r="J34" s="7"/>
      <c r="K34" s="7">
        <f>_XLL.ЧИСТНЗ($B$50,F34:$F$45,B34:$B$45)-F34</f>
        <v>590864.5981298698</v>
      </c>
      <c r="L34" s="7"/>
      <c r="M34" s="7"/>
      <c r="N34" s="7"/>
    </row>
    <row r="35" spans="2:14" ht="15.75">
      <c r="B35" s="5">
        <v>43429</v>
      </c>
      <c r="C35" s="5" t="s">
        <v>11</v>
      </c>
      <c r="D35" s="7">
        <v>80897.53</v>
      </c>
      <c r="E35" s="7">
        <f t="shared" si="0"/>
        <v>12340.301186440678</v>
      </c>
      <c r="F35" s="7">
        <f t="shared" si="1"/>
        <v>68557.22881355933</v>
      </c>
      <c r="G35" s="7">
        <f t="shared" si="2"/>
        <v>59336.57642074989</v>
      </c>
      <c r="H35" s="7">
        <f t="shared" si="3"/>
        <v>9220.65239280944</v>
      </c>
      <c r="I35" s="7"/>
      <c r="J35" s="7"/>
      <c r="K35" s="7">
        <f>_XLL.ЧИСТНЗ($B$50,F35:$F$45,B35:$B$45)-F35</f>
        <v>531528.0217091199</v>
      </c>
      <c r="L35" s="7"/>
      <c r="M35" s="7"/>
      <c r="N35" s="7"/>
    </row>
    <row r="36" spans="2:14" ht="15.75">
      <c r="B36" s="5">
        <v>43459</v>
      </c>
      <c r="C36" s="5" t="s">
        <v>11</v>
      </c>
      <c r="D36" s="7">
        <v>79693.72</v>
      </c>
      <c r="E36" s="7">
        <f t="shared" si="0"/>
        <v>12156.669152542372</v>
      </c>
      <c r="F36" s="7">
        <f t="shared" si="1"/>
        <v>67537.05084745763</v>
      </c>
      <c r="G36" s="7">
        <f t="shared" si="2"/>
        <v>59511.94695925689</v>
      </c>
      <c r="H36" s="7">
        <f t="shared" si="3"/>
        <v>8025.1038882007415</v>
      </c>
      <c r="I36" s="7"/>
      <c r="J36" s="7"/>
      <c r="K36" s="7">
        <f>_XLL.ЧИСТНЗ($B$50,F36:$F$45,B36:$B$45)-F36</f>
        <v>472016.074749863</v>
      </c>
      <c r="L36" s="7"/>
      <c r="M36" s="7"/>
      <c r="N36" s="7"/>
    </row>
    <row r="37" spans="2:14" ht="15.75">
      <c r="B37" s="5">
        <v>43490</v>
      </c>
      <c r="C37" s="5" t="s">
        <v>11</v>
      </c>
      <c r="D37" s="7">
        <v>78489.9</v>
      </c>
      <c r="E37" s="7">
        <f t="shared" si="0"/>
        <v>11973.035593220338</v>
      </c>
      <c r="F37" s="7">
        <f t="shared" si="1"/>
        <v>66516.86440677966</v>
      </c>
      <c r="G37" s="7">
        <f t="shared" si="2"/>
        <v>59150.88552961865</v>
      </c>
      <c r="H37" s="7">
        <f t="shared" si="3"/>
        <v>7365.978877161004</v>
      </c>
      <c r="I37" s="7"/>
      <c r="J37" s="7"/>
      <c r="K37" s="7">
        <f>_XLL.ЧИСТНЗ($B$50,F37:$F$45,B37:$B$45)-F37</f>
        <v>412865.18922024436</v>
      </c>
      <c r="L37" s="7"/>
      <c r="M37" s="7"/>
      <c r="N37" s="7"/>
    </row>
    <row r="38" spans="2:14" ht="15.75">
      <c r="B38" s="5">
        <v>43521</v>
      </c>
      <c r="C38" s="5" t="s">
        <v>11</v>
      </c>
      <c r="D38" s="7">
        <v>77286.09</v>
      </c>
      <c r="E38" s="7">
        <f t="shared" si="0"/>
        <v>11789.403559322032</v>
      </c>
      <c r="F38" s="7">
        <f t="shared" si="1"/>
        <v>65496.686440677964</v>
      </c>
      <c r="G38" s="7">
        <f t="shared" si="2"/>
        <v>59053.77818904066</v>
      </c>
      <c r="H38" s="7">
        <f t="shared" si="3"/>
        <v>6442.908251637302</v>
      </c>
      <c r="I38" s="7"/>
      <c r="J38" s="7"/>
      <c r="K38" s="7">
        <f>_XLL.ЧИСТНЗ($B$50,F38:$F$45,B38:$B$45)-F38</f>
        <v>353811.4110312037</v>
      </c>
      <c r="L38" s="7"/>
      <c r="M38" s="7"/>
      <c r="N38" s="7"/>
    </row>
    <row r="39" spans="2:14" ht="15.75">
      <c r="B39" s="5">
        <v>43549</v>
      </c>
      <c r="C39" s="5" t="s">
        <v>11</v>
      </c>
      <c r="D39" s="7">
        <v>76082.27</v>
      </c>
      <c r="E39" s="7">
        <f t="shared" si="0"/>
        <v>11605.77</v>
      </c>
      <c r="F39" s="7">
        <f t="shared" si="1"/>
        <v>64476.5</v>
      </c>
      <c r="G39" s="7">
        <f t="shared" si="2"/>
        <v>59493.21584985335</v>
      </c>
      <c r="H39" s="7">
        <f t="shared" si="3"/>
        <v>4983.284150146646</v>
      </c>
      <c r="I39" s="7"/>
      <c r="J39" s="7"/>
      <c r="K39" s="7">
        <f>_XLL.ЧИСТНЗ($B$50,F39:$F$45,B39:$B$45)-F39</f>
        <v>294318.19518135034</v>
      </c>
      <c r="L39" s="7"/>
      <c r="M39" s="7"/>
      <c r="N39" s="7"/>
    </row>
    <row r="40" spans="2:14" ht="15.75">
      <c r="B40" s="5">
        <v>43580</v>
      </c>
      <c r="C40" s="5" t="s">
        <v>11</v>
      </c>
      <c r="D40" s="7">
        <v>74878.45</v>
      </c>
      <c r="E40" s="7">
        <f t="shared" si="0"/>
        <v>11422.136440677965</v>
      </c>
      <c r="F40" s="7">
        <f t="shared" si="1"/>
        <v>63456.313559322036</v>
      </c>
      <c r="G40" s="7">
        <f t="shared" si="2"/>
        <v>58863.37335062504</v>
      </c>
      <c r="H40" s="7">
        <f t="shared" si="3"/>
        <v>4592.940208696993</v>
      </c>
      <c r="I40" s="7"/>
      <c r="J40" s="7"/>
      <c r="K40" s="7">
        <f>_XLL.ЧИСТНЗ($B$50,F40:$F$45,B40:$B$45)-F40</f>
        <v>235454.8218307253</v>
      </c>
      <c r="L40" s="7"/>
      <c r="M40" s="7"/>
      <c r="N40" s="7"/>
    </row>
    <row r="41" spans="2:14" ht="15.75">
      <c r="B41" s="5">
        <v>43610</v>
      </c>
      <c r="C41" s="5" t="s">
        <v>11</v>
      </c>
      <c r="D41" s="7">
        <v>73674.64</v>
      </c>
      <c r="E41" s="7">
        <f t="shared" si="0"/>
        <v>11238.50440677966</v>
      </c>
      <c r="F41" s="7">
        <f t="shared" si="1"/>
        <v>62436.13559322034</v>
      </c>
      <c r="G41" s="7">
        <f t="shared" si="2"/>
        <v>58881.1971346729</v>
      </c>
      <c r="H41" s="7">
        <f t="shared" si="3"/>
        <v>3554.93845854744</v>
      </c>
      <c r="I41" s="7"/>
      <c r="J41" s="7"/>
      <c r="K41" s="7">
        <f>_XLL.ЧИСТНЗ($B$50,F41:$F$45,B41:$B$45)-F41</f>
        <v>176573.6246960524</v>
      </c>
      <c r="L41" s="7"/>
      <c r="M41" s="7"/>
      <c r="N41" s="7"/>
    </row>
    <row r="42" spans="2:14" ht="15.75">
      <c r="B42" s="5">
        <v>43641</v>
      </c>
      <c r="C42" s="5" t="s">
        <v>11</v>
      </c>
      <c r="D42" s="7">
        <v>72470.82</v>
      </c>
      <c r="E42" s="7">
        <f t="shared" si="0"/>
        <v>11054.870847457629</v>
      </c>
      <c r="F42" s="7">
        <f t="shared" si="1"/>
        <v>61415.94915254238</v>
      </c>
      <c r="G42" s="7">
        <f t="shared" si="2"/>
        <v>58660.45488158114</v>
      </c>
      <c r="H42" s="7">
        <f t="shared" si="3"/>
        <v>2755.494270961237</v>
      </c>
      <c r="I42" s="7"/>
      <c r="J42" s="7"/>
      <c r="K42" s="7">
        <f>_XLL.ЧИСТНЗ($B$50,F42:$F$45,B42:$B$45)-F42</f>
        <v>117913.16981447126</v>
      </c>
      <c r="L42" s="7"/>
      <c r="M42" s="7"/>
      <c r="N42" s="7"/>
    </row>
    <row r="43" spans="2:14" ht="15.75">
      <c r="B43" s="5">
        <v>43671</v>
      </c>
      <c r="C43" s="5" t="s">
        <v>11</v>
      </c>
      <c r="D43" s="7">
        <v>71267</v>
      </c>
      <c r="E43" s="7">
        <f t="shared" si="0"/>
        <v>10871.237288135593</v>
      </c>
      <c r="F43" s="7">
        <f t="shared" si="1"/>
        <v>60395.76271186441</v>
      </c>
      <c r="G43" s="7">
        <f t="shared" si="2"/>
        <v>58615.48886194491</v>
      </c>
      <c r="H43" s="7">
        <f t="shared" si="3"/>
        <v>1780.2738499194966</v>
      </c>
      <c r="I43" s="7"/>
      <c r="J43" s="7"/>
      <c r="K43" s="7">
        <f>_XLL.ЧИСТНЗ($B$50,F43:$F$45,B43:$B$45)-F43</f>
        <v>59297.680952526345</v>
      </c>
      <c r="L43" s="7"/>
      <c r="M43" s="7"/>
      <c r="N43" s="7"/>
    </row>
    <row r="44" spans="2:14" ht="15.75">
      <c r="B44" s="5">
        <v>43702</v>
      </c>
      <c r="C44" s="5" t="s">
        <v>11</v>
      </c>
      <c r="D44" s="7">
        <v>70063.19</v>
      </c>
      <c r="E44" s="7">
        <f t="shared" si="0"/>
        <v>10687.605254237287</v>
      </c>
      <c r="F44" s="7">
        <f t="shared" si="1"/>
        <v>59375.58474576272</v>
      </c>
      <c r="G44" s="7">
        <f t="shared" si="2"/>
        <v>58450.2233254077</v>
      </c>
      <c r="H44" s="7">
        <f t="shared" si="3"/>
        <v>925.3614203550169</v>
      </c>
      <c r="I44" s="7"/>
      <c r="J44" s="7"/>
      <c r="K44" s="7">
        <f>_XLL.ЧИСТНЗ($B$50,F44:$F$45,B44:$B$45)-F44</f>
        <v>847.4576271186452</v>
      </c>
      <c r="L44" s="7"/>
      <c r="M44" s="7"/>
      <c r="N44" s="7"/>
    </row>
    <row r="45" spans="2:14" ht="15.75">
      <c r="B45" s="5">
        <v>43702</v>
      </c>
      <c r="C45" s="5" t="s">
        <v>12</v>
      </c>
      <c r="D45" s="7">
        <v>1000</v>
      </c>
      <c r="E45" s="7">
        <f t="shared" si="0"/>
        <v>152.54237288135593</v>
      </c>
      <c r="F45" s="7">
        <f t="shared" si="1"/>
        <v>847.457627118644</v>
      </c>
      <c r="G45" s="7">
        <f t="shared" si="2"/>
        <v>847.4576271186452</v>
      </c>
      <c r="H45" s="7">
        <f t="shared" si="3"/>
        <v>-1.1368683772161603E-12</v>
      </c>
      <c r="I45" s="7"/>
      <c r="J45" s="7"/>
      <c r="K45" s="7">
        <f>_XLL.ЧИСТНЗ($B$50,F45:$F$45,B45:$B$45)-F45</f>
        <v>0</v>
      </c>
      <c r="L45" s="19">
        <f>$L$6</f>
        <v>3359333.332261936</v>
      </c>
      <c r="M45" s="19">
        <f>(B45-$B$6)/$N$7*L45</f>
        <v>2014496.1658416318</v>
      </c>
      <c r="N45" s="7"/>
    </row>
    <row r="46" spans="2:14" ht="15.75">
      <c r="B46" s="20">
        <v>43830</v>
      </c>
      <c r="C46" s="20" t="s">
        <v>16</v>
      </c>
      <c r="D46" s="21">
        <v>0</v>
      </c>
      <c r="E46" s="21">
        <v>0</v>
      </c>
      <c r="F46" s="21">
        <f t="shared" si="1"/>
        <v>0</v>
      </c>
      <c r="G46" s="21">
        <f>SUM(G6:G45)</f>
        <v>2672723.1627704105</v>
      </c>
      <c r="H46" s="21">
        <f>SUM(H6:H45)</f>
        <v>691276.3202804367</v>
      </c>
      <c r="I46" s="21"/>
      <c r="J46" s="21"/>
      <c r="K46" s="21">
        <f>_XLL.ЧИСТНЗ(B50,F46,B46)</f>
        <v>0</v>
      </c>
      <c r="L46" s="21"/>
      <c r="M46" s="21"/>
      <c r="N46" s="25"/>
    </row>
    <row r="47" spans="2:14" s="9" customFormat="1" ht="15.75"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2:14" ht="16.5" thickBot="1">
      <c r="B48" s="12" t="s">
        <v>4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</row>
    <row r="49" ht="15.75" thickTop="1"/>
    <row r="50" spans="2:3" ht="15">
      <c r="B50" s="15">
        <v>0.2</v>
      </c>
      <c r="C50" s="1" t="s">
        <v>13</v>
      </c>
    </row>
  </sheetData>
  <sheetProtection/>
  <mergeCells count="6">
    <mergeCell ref="L2:M2"/>
    <mergeCell ref="B2:B3"/>
    <mergeCell ref="C2:C3"/>
    <mergeCell ref="D2:H2"/>
    <mergeCell ref="I2:J2"/>
    <mergeCell ref="K2:K3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portrait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6"/>
  <sheetViews>
    <sheetView zoomScalePageLayoutView="0" workbookViewId="0" topLeftCell="A40">
      <selection activeCell="F45" sqref="F45"/>
    </sheetView>
  </sheetViews>
  <sheetFormatPr defaultColWidth="9.140625" defaultRowHeight="15"/>
  <cols>
    <col min="1" max="1" width="1.7109375" style="31" customWidth="1"/>
    <col min="2" max="2" width="5.57421875" style="31" bestFit="1" customWidth="1"/>
    <col min="3" max="3" width="11.28125" style="31" bestFit="1" customWidth="1"/>
    <col min="4" max="4" width="78.57421875" style="31" customWidth="1"/>
    <col min="5" max="5" width="9.28125" style="31" bestFit="1" customWidth="1"/>
    <col min="6" max="6" width="53.57421875" style="31" customWidth="1"/>
    <col min="7" max="7" width="13.421875" style="31" bestFit="1" customWidth="1"/>
    <col min="8" max="8" width="9.28125" style="31" bestFit="1" customWidth="1"/>
    <col min="9" max="9" width="58.8515625" style="31" bestFit="1" customWidth="1"/>
    <col min="10" max="10" width="13.421875" style="31" bestFit="1" customWidth="1"/>
    <col min="11" max="16384" width="9.140625" style="31" customWidth="1"/>
  </cols>
  <sheetData>
    <row r="2" spans="2:10" ht="15.75">
      <c r="B2" s="91" t="s">
        <v>20</v>
      </c>
      <c r="C2" s="91" t="s">
        <v>0</v>
      </c>
      <c r="D2" s="91" t="s">
        <v>21</v>
      </c>
      <c r="E2" s="91" t="s">
        <v>22</v>
      </c>
      <c r="F2" s="91"/>
      <c r="G2" s="91"/>
      <c r="H2" s="91" t="s">
        <v>23</v>
      </c>
      <c r="I2" s="91"/>
      <c r="J2" s="91"/>
    </row>
    <row r="3" spans="2:10" ht="15.75">
      <c r="B3" s="91"/>
      <c r="C3" s="91"/>
      <c r="D3" s="91"/>
      <c r="E3" s="32" t="s">
        <v>24</v>
      </c>
      <c r="F3" s="32" t="s">
        <v>25</v>
      </c>
      <c r="G3" s="32" t="s">
        <v>26</v>
      </c>
      <c r="H3" s="32" t="s">
        <v>24</v>
      </c>
      <c r="I3" s="32" t="s">
        <v>25</v>
      </c>
      <c r="J3" s="32" t="s">
        <v>26</v>
      </c>
    </row>
    <row r="4" spans="2:10" ht="15.75">
      <c r="B4" s="33"/>
      <c r="C4" s="34" t="s">
        <v>27</v>
      </c>
      <c r="D4" s="33"/>
      <c r="E4" s="33"/>
      <c r="F4" s="33"/>
      <c r="G4" s="33"/>
      <c r="H4" s="33"/>
      <c r="I4" s="33"/>
      <c r="J4" s="33"/>
    </row>
    <row r="5" spans="2:10" ht="15.75">
      <c r="B5" s="35"/>
      <c r="C5" s="35"/>
      <c r="D5" s="36" t="s">
        <v>51</v>
      </c>
      <c r="E5" s="35"/>
      <c r="F5" s="35"/>
      <c r="G5" s="35"/>
      <c r="H5" s="35"/>
      <c r="I5" s="35"/>
      <c r="J5" s="35"/>
    </row>
    <row r="6" spans="2:10" ht="15.75">
      <c r="B6" s="37">
        <v>1</v>
      </c>
      <c r="C6" s="38">
        <v>42607</v>
      </c>
      <c r="D6" s="37" t="s">
        <v>49</v>
      </c>
      <c r="E6" s="37">
        <v>60312</v>
      </c>
      <c r="F6" s="37" t="s">
        <v>29</v>
      </c>
      <c r="G6" s="40">
        <f>Расчет!D6</f>
        <v>774800</v>
      </c>
      <c r="H6" s="37">
        <v>20501</v>
      </c>
      <c r="I6" s="39" t="s">
        <v>28</v>
      </c>
      <c r="J6" s="40">
        <f>-G6</f>
        <v>-774800</v>
      </c>
    </row>
    <row r="7" spans="2:10" ht="15.75">
      <c r="B7" s="37">
        <v>2</v>
      </c>
      <c r="C7" s="38">
        <v>42607</v>
      </c>
      <c r="D7" s="37" t="s">
        <v>50</v>
      </c>
      <c r="E7" s="37">
        <v>60312</v>
      </c>
      <c r="F7" s="37" t="s">
        <v>29</v>
      </c>
      <c r="G7" s="40">
        <f>Расчет!D5</f>
        <v>30000</v>
      </c>
      <c r="H7" s="37">
        <v>20501</v>
      </c>
      <c r="I7" s="41" t="s">
        <v>28</v>
      </c>
      <c r="J7" s="40">
        <f>-G7</f>
        <v>-30000</v>
      </c>
    </row>
    <row r="8" spans="2:10" ht="15.75">
      <c r="B8" s="37">
        <v>3</v>
      </c>
      <c r="C8" s="38">
        <v>42607</v>
      </c>
      <c r="D8" s="37" t="s">
        <v>53</v>
      </c>
      <c r="E8" s="37">
        <v>60310</v>
      </c>
      <c r="F8" s="40" t="s">
        <v>33</v>
      </c>
      <c r="G8" s="40">
        <f>Расчет!E6</f>
        <v>118189.83050847458</v>
      </c>
      <c r="H8" s="37">
        <v>60312</v>
      </c>
      <c r="I8" s="40" t="s">
        <v>29</v>
      </c>
      <c r="J8" s="40">
        <f>-G8</f>
        <v>-118189.83050847458</v>
      </c>
    </row>
    <row r="9" spans="2:10" ht="31.5">
      <c r="B9" s="68" t="s">
        <v>97</v>
      </c>
      <c r="C9" s="38">
        <v>42607</v>
      </c>
      <c r="D9" s="37" t="s">
        <v>98</v>
      </c>
      <c r="E9" s="69" t="s">
        <v>99</v>
      </c>
      <c r="F9" s="70" t="s">
        <v>100</v>
      </c>
      <c r="G9" s="71">
        <f>G6</f>
        <v>774800</v>
      </c>
      <c r="H9" s="72">
        <v>99999</v>
      </c>
      <c r="I9" s="72" t="s">
        <v>101</v>
      </c>
      <c r="J9" s="71">
        <f>-G9</f>
        <v>-774800</v>
      </c>
    </row>
    <row r="10" spans="2:10" ht="15.75">
      <c r="B10" s="37"/>
      <c r="C10" s="38"/>
      <c r="D10" s="43" t="s">
        <v>89</v>
      </c>
      <c r="G10" s="40"/>
      <c r="H10" s="37"/>
      <c r="I10" s="41"/>
      <c r="J10" s="40"/>
    </row>
    <row r="11" spans="2:10" ht="31.5">
      <c r="B11" s="37">
        <v>4</v>
      </c>
      <c r="C11" s="38">
        <v>42607</v>
      </c>
      <c r="D11" s="39" t="s">
        <v>84</v>
      </c>
      <c r="E11" s="37">
        <v>60415</v>
      </c>
      <c r="F11" s="39" t="s">
        <v>30</v>
      </c>
      <c r="G11" s="40">
        <f>Расчет!K6</f>
        <v>2672723.1627704105</v>
      </c>
      <c r="H11" s="37">
        <v>60806</v>
      </c>
      <c r="I11" s="41" t="s">
        <v>68</v>
      </c>
      <c r="J11" s="40">
        <f>-G11</f>
        <v>-2672723.1627704105</v>
      </c>
    </row>
    <row r="12" spans="2:10" ht="31.5">
      <c r="B12" s="37">
        <v>5</v>
      </c>
      <c r="C12" s="38">
        <v>42607</v>
      </c>
      <c r="D12" s="39" t="s">
        <v>54</v>
      </c>
      <c r="E12" s="37">
        <v>60415</v>
      </c>
      <c r="F12" s="39" t="s">
        <v>30</v>
      </c>
      <c r="G12" s="40">
        <f>Расчет!F6</f>
        <v>656610.1694915254</v>
      </c>
      <c r="H12" s="37">
        <v>60312</v>
      </c>
      <c r="I12" s="37" t="s">
        <v>29</v>
      </c>
      <c r="J12" s="40">
        <f>-G12</f>
        <v>-656610.1694915254</v>
      </c>
    </row>
    <row r="13" spans="2:10" ht="31.5">
      <c r="B13" s="37">
        <v>6</v>
      </c>
      <c r="C13" s="38">
        <v>42607</v>
      </c>
      <c r="D13" s="39" t="s">
        <v>55</v>
      </c>
      <c r="E13" s="37">
        <v>60415</v>
      </c>
      <c r="F13" s="39" t="s">
        <v>30</v>
      </c>
      <c r="G13" s="40">
        <f>G7</f>
        <v>30000</v>
      </c>
      <c r="H13" s="37">
        <v>60312</v>
      </c>
      <c r="I13" s="37" t="s">
        <v>29</v>
      </c>
      <c r="J13" s="40">
        <f>-G13</f>
        <v>-30000</v>
      </c>
    </row>
    <row r="14" spans="2:10" ht="31.5">
      <c r="B14" s="37">
        <v>7</v>
      </c>
      <c r="C14" s="38">
        <v>42607</v>
      </c>
      <c r="D14" s="37" t="s">
        <v>31</v>
      </c>
      <c r="E14" s="37">
        <v>60804</v>
      </c>
      <c r="F14" s="39" t="s">
        <v>52</v>
      </c>
      <c r="G14" s="40">
        <f>SUM(G11:G13)</f>
        <v>3359333.332261936</v>
      </c>
      <c r="H14" s="37">
        <v>60415</v>
      </c>
      <c r="I14" s="41" t="s">
        <v>30</v>
      </c>
      <c r="J14" s="40">
        <f>-G14</f>
        <v>-3359333.332261936</v>
      </c>
    </row>
    <row r="15" spans="2:10" ht="15.75">
      <c r="B15" s="37"/>
      <c r="C15" s="37"/>
      <c r="D15" s="43" t="s">
        <v>36</v>
      </c>
      <c r="E15" s="37"/>
      <c r="F15" s="37"/>
      <c r="G15" s="40"/>
      <c r="H15" s="37"/>
      <c r="I15" s="40"/>
      <c r="J15" s="40"/>
    </row>
    <row r="16" spans="2:10" ht="36.75" customHeight="1">
      <c r="B16" s="37">
        <v>8</v>
      </c>
      <c r="C16" s="42">
        <v>42613</v>
      </c>
      <c r="D16" s="44" t="s">
        <v>90</v>
      </c>
      <c r="E16" s="37">
        <v>71802</v>
      </c>
      <c r="F16" s="39" t="s">
        <v>69</v>
      </c>
      <c r="G16" s="40">
        <f>Расчет!M7</f>
        <v>11038.335155296612</v>
      </c>
      <c r="H16" s="37">
        <v>60805</v>
      </c>
      <c r="I16" s="39" t="s">
        <v>56</v>
      </c>
      <c r="J16" s="40">
        <f>-G16</f>
        <v>-11038.335155296612</v>
      </c>
    </row>
    <row r="17" spans="2:10" ht="15.75">
      <c r="B17" s="37">
        <v>9</v>
      </c>
      <c r="C17" s="42">
        <v>42613</v>
      </c>
      <c r="D17" s="44" t="s">
        <v>85</v>
      </c>
      <c r="E17" s="37">
        <v>71101</v>
      </c>
      <c r="F17" s="39" t="s">
        <v>70</v>
      </c>
      <c r="G17" s="40">
        <f>Расчет!I7</f>
        <v>8022.345301704481</v>
      </c>
      <c r="H17" s="37">
        <v>60806</v>
      </c>
      <c r="I17" s="41" t="s">
        <v>68</v>
      </c>
      <c r="J17" s="40">
        <f>-G17</f>
        <v>-8022.345301704481</v>
      </c>
    </row>
    <row r="18" spans="2:10" ht="15.75">
      <c r="B18" s="37">
        <v>10</v>
      </c>
      <c r="C18" s="42">
        <v>42613</v>
      </c>
      <c r="D18" s="44" t="s">
        <v>78</v>
      </c>
      <c r="E18" s="37">
        <v>60310</v>
      </c>
      <c r="F18" s="40" t="s">
        <v>33</v>
      </c>
      <c r="G18" s="40">
        <f>Расчет!J7</f>
        <v>1444.0221543068067</v>
      </c>
      <c r="H18" s="37">
        <v>60311</v>
      </c>
      <c r="I18" s="37" t="s">
        <v>29</v>
      </c>
      <c r="J18" s="40">
        <f>-G18</f>
        <v>-1444.0221543068067</v>
      </c>
    </row>
    <row r="19" spans="2:10" s="75" customFormat="1" ht="47.25">
      <c r="B19" s="69" t="s">
        <v>102</v>
      </c>
      <c r="C19" s="42">
        <v>42613</v>
      </c>
      <c r="D19" s="73" t="s">
        <v>103</v>
      </c>
      <c r="E19" s="72">
        <v>99999</v>
      </c>
      <c r="F19" s="72" t="s">
        <v>101</v>
      </c>
      <c r="G19" s="74" t="s">
        <v>104</v>
      </c>
      <c r="H19" s="69" t="s">
        <v>99</v>
      </c>
      <c r="I19" s="70" t="s">
        <v>100</v>
      </c>
      <c r="J19" s="74" t="s">
        <v>104</v>
      </c>
    </row>
    <row r="20" spans="2:10" ht="15.75">
      <c r="B20" s="37"/>
      <c r="C20" s="37"/>
      <c r="D20" s="45" t="s">
        <v>5</v>
      </c>
      <c r="E20" s="37"/>
      <c r="F20" s="37"/>
      <c r="G20" s="40"/>
      <c r="H20" s="37"/>
      <c r="I20" s="40"/>
      <c r="J20" s="40"/>
    </row>
    <row r="21" spans="2:10" ht="15.75">
      <c r="B21" s="37">
        <v>11</v>
      </c>
      <c r="C21" s="42">
        <v>42613</v>
      </c>
      <c r="D21" s="44" t="s">
        <v>42</v>
      </c>
      <c r="E21" s="37">
        <v>60302</v>
      </c>
      <c r="F21" s="37" t="s">
        <v>38</v>
      </c>
      <c r="G21" s="40">
        <f>G8+G18</f>
        <v>119633.85266278138</v>
      </c>
      <c r="H21" s="37">
        <v>60310</v>
      </c>
      <c r="I21" s="40" t="s">
        <v>33</v>
      </c>
      <c r="J21" s="40">
        <f>-G21</f>
        <v>-119633.85266278138</v>
      </c>
    </row>
    <row r="22" spans="2:10" ht="15.75">
      <c r="B22" s="37"/>
      <c r="C22" s="42"/>
      <c r="D22" s="44"/>
      <c r="E22" s="37"/>
      <c r="F22" s="37"/>
      <c r="G22" s="40"/>
      <c r="H22" s="37"/>
      <c r="I22" s="40"/>
      <c r="J22" s="40"/>
    </row>
    <row r="23" spans="2:10" ht="15.75">
      <c r="B23" s="37"/>
      <c r="C23" s="45" t="s">
        <v>39</v>
      </c>
      <c r="D23" s="45"/>
      <c r="E23" s="37"/>
      <c r="F23" s="37"/>
      <c r="G23" s="40"/>
      <c r="H23" s="37"/>
      <c r="I23" s="40"/>
      <c r="J23" s="40"/>
    </row>
    <row r="24" spans="2:10" ht="15.75">
      <c r="B24" s="37"/>
      <c r="C24" s="45"/>
      <c r="D24" s="45" t="s">
        <v>40</v>
      </c>
      <c r="E24" s="37"/>
      <c r="F24" s="37"/>
      <c r="G24" s="40"/>
      <c r="H24" s="37"/>
      <c r="I24" s="40"/>
      <c r="J24" s="40"/>
    </row>
    <row r="25" spans="2:10" ht="15.75">
      <c r="B25" s="37">
        <v>12</v>
      </c>
      <c r="C25" s="38">
        <v>42638</v>
      </c>
      <c r="D25" s="44" t="s">
        <v>85</v>
      </c>
      <c r="E25" s="37">
        <v>71101</v>
      </c>
      <c r="F25" s="39" t="s">
        <v>70</v>
      </c>
      <c r="G25" s="40">
        <f>Расчет!I8</f>
        <v>33686.45110294786</v>
      </c>
      <c r="H25" s="37">
        <v>60806</v>
      </c>
      <c r="I25" s="41" t="s">
        <v>68</v>
      </c>
      <c r="J25" s="40">
        <f>-G25</f>
        <v>-33686.45110294786</v>
      </c>
    </row>
    <row r="26" spans="2:10" ht="15.75">
      <c r="B26" s="37">
        <v>13</v>
      </c>
      <c r="C26" s="38">
        <v>42638</v>
      </c>
      <c r="D26" s="37" t="s">
        <v>72</v>
      </c>
      <c r="E26" s="37">
        <v>60806</v>
      </c>
      <c r="F26" s="41" t="s">
        <v>68</v>
      </c>
      <c r="G26" s="40">
        <f>Расчет!F8</f>
        <v>129759.72881355933</v>
      </c>
      <c r="H26" s="37">
        <v>60311</v>
      </c>
      <c r="I26" s="37" t="s">
        <v>29</v>
      </c>
      <c r="J26" s="40">
        <f>-G26</f>
        <v>-129759.72881355933</v>
      </c>
    </row>
    <row r="27" spans="2:10" ht="15.75">
      <c r="B27" s="37">
        <v>14</v>
      </c>
      <c r="C27" s="38">
        <v>42638</v>
      </c>
      <c r="D27" s="37" t="s">
        <v>41</v>
      </c>
      <c r="E27" s="37">
        <v>60310</v>
      </c>
      <c r="F27" s="40" t="s">
        <v>33</v>
      </c>
      <c r="G27" s="40">
        <f>Расчет!E8-G18</f>
        <v>21912.729032133873</v>
      </c>
      <c r="H27" s="37">
        <v>60311</v>
      </c>
      <c r="I27" s="37" t="s">
        <v>29</v>
      </c>
      <c r="J27" s="40">
        <f>-G27</f>
        <v>-21912.729032133873</v>
      </c>
    </row>
    <row r="28" spans="2:10" ht="15.75">
      <c r="B28" s="37"/>
      <c r="C28" s="38"/>
      <c r="D28" s="45" t="s">
        <v>73</v>
      </c>
      <c r="E28" s="37"/>
      <c r="F28" s="39"/>
      <c r="G28" s="40"/>
      <c r="H28" s="37"/>
      <c r="I28" s="39"/>
      <c r="J28" s="40"/>
    </row>
    <row r="29" spans="2:10" ht="15.75">
      <c r="B29" s="37">
        <v>15</v>
      </c>
      <c r="C29" s="38">
        <v>42638</v>
      </c>
      <c r="D29" s="37" t="s">
        <v>74</v>
      </c>
      <c r="E29" s="37">
        <v>60311</v>
      </c>
      <c r="F29" s="37" t="s">
        <v>29</v>
      </c>
      <c r="G29" s="40">
        <f>Расчет!D8</f>
        <v>153116.48</v>
      </c>
      <c r="H29" s="37">
        <v>20501</v>
      </c>
      <c r="I29" s="39" t="s">
        <v>28</v>
      </c>
      <c r="J29" s="40">
        <f>-G29</f>
        <v>-153116.48</v>
      </c>
    </row>
    <row r="30" spans="2:10" ht="15.75">
      <c r="B30" s="37"/>
      <c r="C30" s="38"/>
      <c r="D30" s="37"/>
      <c r="E30" s="37"/>
      <c r="F30" s="39"/>
      <c r="G30" s="40"/>
      <c r="H30" s="37"/>
      <c r="I30" s="40"/>
      <c r="J30" s="40"/>
    </row>
    <row r="31" spans="2:10" ht="15.75">
      <c r="B31" s="37"/>
      <c r="C31" s="38"/>
      <c r="D31" s="43" t="s">
        <v>36</v>
      </c>
      <c r="E31" s="37"/>
      <c r="F31" s="39"/>
      <c r="G31" s="40"/>
      <c r="H31" s="37"/>
      <c r="I31" s="40"/>
      <c r="J31" s="40"/>
    </row>
    <row r="32" spans="2:10" ht="31.5">
      <c r="B32" s="37">
        <v>16</v>
      </c>
      <c r="C32" s="38">
        <v>42643</v>
      </c>
      <c r="D32" s="44" t="s">
        <v>90</v>
      </c>
      <c r="E32" s="37">
        <v>71802</v>
      </c>
      <c r="F32" s="39" t="s">
        <v>69</v>
      </c>
      <c r="G32" s="40">
        <f>Расчет!M9-Расчет!M7</f>
        <v>55191.67577648306</v>
      </c>
      <c r="H32" s="37">
        <v>60805</v>
      </c>
      <c r="I32" s="39" t="s">
        <v>56</v>
      </c>
      <c r="J32" s="40">
        <f>-G32</f>
        <v>-55191.67577648306</v>
      </c>
    </row>
    <row r="33" spans="2:10" ht="15.75">
      <c r="B33" s="37">
        <v>17</v>
      </c>
      <c r="C33" s="38">
        <v>42643</v>
      </c>
      <c r="D33" s="44" t="s">
        <v>85</v>
      </c>
      <c r="E33" s="37">
        <v>71101</v>
      </c>
      <c r="F33" s="39" t="s">
        <v>70</v>
      </c>
      <c r="G33" s="40">
        <f>Расчет!I9</f>
        <v>6463.430560793728</v>
      </c>
      <c r="H33" s="37">
        <v>60806</v>
      </c>
      <c r="I33" s="41" t="s">
        <v>68</v>
      </c>
      <c r="J33" s="40">
        <f>-G33</f>
        <v>-6463.430560793728</v>
      </c>
    </row>
    <row r="34" spans="2:10" ht="15.75">
      <c r="B34" s="37">
        <v>18</v>
      </c>
      <c r="C34" s="38">
        <v>42643</v>
      </c>
      <c r="D34" s="44" t="s">
        <v>78</v>
      </c>
      <c r="E34" s="37">
        <v>60310</v>
      </c>
      <c r="F34" s="40" t="s">
        <v>33</v>
      </c>
      <c r="G34" s="40">
        <f>Расчет!J9</f>
        <v>1163.417500942871</v>
      </c>
      <c r="H34" s="37">
        <v>60311</v>
      </c>
      <c r="I34" s="37" t="s">
        <v>29</v>
      </c>
      <c r="J34" s="40">
        <f>-G34</f>
        <v>-1163.417500942871</v>
      </c>
    </row>
    <row r="35" spans="2:10" ht="47.25">
      <c r="B35" s="69" t="s">
        <v>105</v>
      </c>
      <c r="C35" s="38">
        <v>42643</v>
      </c>
      <c r="D35" s="73" t="s">
        <v>103</v>
      </c>
      <c r="E35" s="72">
        <v>99999</v>
      </c>
      <c r="F35" s="72" t="s">
        <v>101</v>
      </c>
      <c r="G35" s="74" t="s">
        <v>104</v>
      </c>
      <c r="H35" s="69" t="s">
        <v>99</v>
      </c>
      <c r="I35" s="70" t="s">
        <v>100</v>
      </c>
      <c r="J35" s="74" t="s">
        <v>104</v>
      </c>
    </row>
    <row r="36" spans="2:10" ht="15.75">
      <c r="B36" s="37"/>
      <c r="C36" s="38"/>
      <c r="D36" s="45" t="s">
        <v>5</v>
      </c>
      <c r="E36" s="37"/>
      <c r="F36" s="39"/>
      <c r="G36" s="40"/>
      <c r="H36" s="37"/>
      <c r="I36" s="40"/>
      <c r="J36" s="40"/>
    </row>
    <row r="37" spans="2:10" ht="15.75">
      <c r="B37" s="37">
        <v>19</v>
      </c>
      <c r="C37" s="38">
        <v>42643</v>
      </c>
      <c r="D37" s="44" t="s">
        <v>42</v>
      </c>
      <c r="E37" s="37">
        <v>60302</v>
      </c>
      <c r="F37" s="40" t="s">
        <v>38</v>
      </c>
      <c r="G37" s="40">
        <f>G27+G34</f>
        <v>23076.146533076746</v>
      </c>
      <c r="H37" s="37">
        <v>60310</v>
      </c>
      <c r="I37" s="40" t="s">
        <v>33</v>
      </c>
      <c r="J37" s="40">
        <f>-G37</f>
        <v>-23076.146533076746</v>
      </c>
    </row>
    <row r="38" ht="15.75">
      <c r="B38" s="37"/>
    </row>
    <row r="39" spans="2:10" ht="15.75">
      <c r="B39" s="37"/>
      <c r="D39" s="45" t="s">
        <v>43</v>
      </c>
      <c r="E39" s="37"/>
      <c r="F39" s="37"/>
      <c r="G39" s="37"/>
      <c r="H39" s="37"/>
      <c r="I39" s="37"/>
      <c r="J39" s="37"/>
    </row>
    <row r="40" spans="2:10" ht="15.75">
      <c r="B40" s="37"/>
      <c r="C40" s="45"/>
      <c r="D40" s="45"/>
      <c r="E40" s="37"/>
      <c r="F40" s="37"/>
      <c r="G40" s="37"/>
      <c r="H40" s="37"/>
      <c r="I40" s="37"/>
      <c r="J40" s="37"/>
    </row>
    <row r="41" spans="2:10" ht="15.75">
      <c r="B41" s="37"/>
      <c r="D41" s="45" t="s">
        <v>44</v>
      </c>
      <c r="J41" s="37"/>
    </row>
    <row r="42" spans="2:10" ht="15.75">
      <c r="B42" s="37">
        <v>20</v>
      </c>
      <c r="C42" s="38">
        <v>42643</v>
      </c>
      <c r="D42" s="37" t="s">
        <v>86</v>
      </c>
      <c r="E42" s="37">
        <v>60806</v>
      </c>
      <c r="F42" s="41" t="s">
        <v>68</v>
      </c>
      <c r="G42" s="46">
        <f>G33</f>
        <v>6463.430560793728</v>
      </c>
      <c r="H42" s="37">
        <v>60311</v>
      </c>
      <c r="I42" s="37" t="s">
        <v>29</v>
      </c>
      <c r="J42" s="40">
        <f aca="true" t="shared" si="0" ref="J42:J47">-G42</f>
        <v>-6463.430560793728</v>
      </c>
    </row>
    <row r="43" spans="2:10" ht="15.75">
      <c r="B43" s="37">
        <v>21</v>
      </c>
      <c r="C43" s="38">
        <v>42643</v>
      </c>
      <c r="D43" s="37" t="s">
        <v>87</v>
      </c>
      <c r="E43" s="37">
        <v>60311</v>
      </c>
      <c r="F43" s="37" t="s">
        <v>29</v>
      </c>
      <c r="G43" s="46">
        <f>G42+G34</f>
        <v>7626.8480617365985</v>
      </c>
      <c r="H43" s="37">
        <v>20501</v>
      </c>
      <c r="I43" s="41" t="s">
        <v>28</v>
      </c>
      <c r="J43" s="40">
        <f t="shared" si="0"/>
        <v>-7626.8480617365985</v>
      </c>
    </row>
    <row r="44" spans="2:10" ht="15.75">
      <c r="B44" s="37">
        <v>22</v>
      </c>
      <c r="C44" s="38">
        <v>42643</v>
      </c>
      <c r="D44" s="37" t="s">
        <v>79</v>
      </c>
      <c r="E44" s="37">
        <v>60806</v>
      </c>
      <c r="F44" s="41" t="s">
        <v>68</v>
      </c>
      <c r="G44" s="40">
        <f>Расчет!K9-G42</f>
        <v>2584672.2303615035</v>
      </c>
      <c r="H44" s="37">
        <v>61209</v>
      </c>
      <c r="I44" s="39" t="s">
        <v>34</v>
      </c>
      <c r="J44" s="40">
        <f t="shared" si="0"/>
        <v>-2584672.2303615035</v>
      </c>
    </row>
    <row r="45" spans="2:10" ht="15.75">
      <c r="B45" s="37">
        <v>23</v>
      </c>
      <c r="C45" s="38">
        <v>42643</v>
      </c>
      <c r="D45" s="41" t="s">
        <v>91</v>
      </c>
      <c r="E45" s="37">
        <v>61209</v>
      </c>
      <c r="F45" s="39" t="s">
        <v>34</v>
      </c>
      <c r="G45" s="46">
        <f>Расчет!L9</f>
        <v>3359333.332261936</v>
      </c>
      <c r="H45" s="37">
        <v>60804</v>
      </c>
      <c r="I45" s="39" t="s">
        <v>67</v>
      </c>
      <c r="J45" s="40">
        <f t="shared" si="0"/>
        <v>-3359333.332261936</v>
      </c>
    </row>
    <row r="46" spans="2:10" ht="31.5">
      <c r="B46" s="37">
        <v>24</v>
      </c>
      <c r="C46" s="38">
        <v>42643</v>
      </c>
      <c r="D46" s="41" t="s">
        <v>95</v>
      </c>
      <c r="E46" s="37">
        <v>60805</v>
      </c>
      <c r="F46" s="39" t="s">
        <v>56</v>
      </c>
      <c r="G46" s="40">
        <f>Расчет!M9</f>
        <v>66230.01093177967</v>
      </c>
      <c r="H46" s="37">
        <v>61209</v>
      </c>
      <c r="I46" s="39" t="s">
        <v>34</v>
      </c>
      <c r="J46" s="40">
        <f t="shared" si="0"/>
        <v>-66230.01093177967</v>
      </c>
    </row>
    <row r="47" spans="2:10" ht="15.75">
      <c r="B47" s="37">
        <v>25</v>
      </c>
      <c r="C47" s="38">
        <v>42643</v>
      </c>
      <c r="D47" s="31" t="s">
        <v>45</v>
      </c>
      <c r="E47" s="37">
        <v>71702</v>
      </c>
      <c r="F47" s="39" t="s">
        <v>80</v>
      </c>
      <c r="G47" s="47">
        <f>G45-G44-G46</f>
        <v>708431.0909686526</v>
      </c>
      <c r="H47" s="37">
        <v>61209</v>
      </c>
      <c r="I47" s="39" t="s">
        <v>34</v>
      </c>
      <c r="J47" s="40">
        <f t="shared" si="0"/>
        <v>-708431.0909686526</v>
      </c>
    </row>
    <row r="48" spans="2:10" ht="31.5">
      <c r="B48" s="69" t="s">
        <v>106</v>
      </c>
      <c r="C48" s="38">
        <v>42643</v>
      </c>
      <c r="D48" s="73" t="s">
        <v>107</v>
      </c>
      <c r="E48" s="72">
        <v>99999</v>
      </c>
      <c r="F48" s="72" t="s">
        <v>101</v>
      </c>
      <c r="G48" s="74" t="s">
        <v>108</v>
      </c>
      <c r="H48" s="69" t="s">
        <v>99</v>
      </c>
      <c r="I48" s="70" t="s">
        <v>100</v>
      </c>
      <c r="J48" s="74" t="s">
        <v>108</v>
      </c>
    </row>
    <row r="49" spans="2:10" ht="15.75">
      <c r="B49" s="37"/>
      <c r="D49" s="45" t="s">
        <v>46</v>
      </c>
      <c r="E49" s="37"/>
      <c r="F49" s="37"/>
      <c r="G49" s="37"/>
      <c r="H49" s="37"/>
      <c r="I49" s="37"/>
      <c r="J49" s="37"/>
    </row>
    <row r="50" spans="2:10" ht="15.75">
      <c r="B50" s="37">
        <v>26</v>
      </c>
      <c r="C50" s="38">
        <v>43702</v>
      </c>
      <c r="D50" s="37" t="s">
        <v>47</v>
      </c>
      <c r="E50" s="37">
        <v>60806</v>
      </c>
      <c r="F50" s="41" t="s">
        <v>68</v>
      </c>
      <c r="G50" s="40">
        <f>Расчет!F45</f>
        <v>847.457627118644</v>
      </c>
      <c r="H50" s="37">
        <v>60311</v>
      </c>
      <c r="I50" s="37" t="s">
        <v>29</v>
      </c>
      <c r="J50" s="40">
        <f aca="true" t="shared" si="1" ref="J50:J55">-G50</f>
        <v>-847.457627118644</v>
      </c>
    </row>
    <row r="51" spans="2:10" ht="15.75">
      <c r="B51" s="37">
        <v>27</v>
      </c>
      <c r="C51" s="38">
        <v>43702</v>
      </c>
      <c r="D51" s="37" t="s">
        <v>48</v>
      </c>
      <c r="E51" s="37">
        <v>60310</v>
      </c>
      <c r="F51" s="40" t="s">
        <v>33</v>
      </c>
      <c r="G51" s="40">
        <f>Расчет!E45</f>
        <v>152.54237288135593</v>
      </c>
      <c r="H51" s="37">
        <v>60311</v>
      </c>
      <c r="I51" s="37" t="s">
        <v>29</v>
      </c>
      <c r="J51" s="40">
        <f t="shared" si="1"/>
        <v>-152.54237288135593</v>
      </c>
    </row>
    <row r="52" spans="2:10" ht="15.75">
      <c r="B52" s="37">
        <v>28</v>
      </c>
      <c r="C52" s="38">
        <v>43702</v>
      </c>
      <c r="D52" s="37" t="s">
        <v>88</v>
      </c>
      <c r="E52" s="37">
        <v>60311</v>
      </c>
      <c r="F52" s="37" t="s">
        <v>29</v>
      </c>
      <c r="G52" s="40">
        <f>SUM(G50:G51)</f>
        <v>1000</v>
      </c>
      <c r="H52" s="37">
        <v>20501</v>
      </c>
      <c r="I52" s="39" t="s">
        <v>28</v>
      </c>
      <c r="J52" s="40">
        <f t="shared" si="1"/>
        <v>-1000</v>
      </c>
    </row>
    <row r="53" spans="2:10" ht="15.75">
      <c r="B53" s="37">
        <v>29</v>
      </c>
      <c r="C53" s="38">
        <v>43702</v>
      </c>
      <c r="D53" s="37" t="s">
        <v>92</v>
      </c>
      <c r="E53" s="37">
        <v>60401</v>
      </c>
      <c r="F53" s="37" t="s">
        <v>32</v>
      </c>
      <c r="G53" s="40">
        <f>Расчет!L45</f>
        <v>3359333.332261936</v>
      </c>
      <c r="H53" s="37">
        <v>60804</v>
      </c>
      <c r="I53" s="39" t="s">
        <v>67</v>
      </c>
      <c r="J53" s="40">
        <f t="shared" si="1"/>
        <v>-3359333.332261936</v>
      </c>
    </row>
    <row r="54" spans="2:10" ht="31.5">
      <c r="B54" s="37">
        <v>30</v>
      </c>
      <c r="C54" s="38">
        <v>43702</v>
      </c>
      <c r="D54" s="37" t="s">
        <v>93</v>
      </c>
      <c r="E54" s="37">
        <v>60805</v>
      </c>
      <c r="F54" s="39" t="s">
        <v>56</v>
      </c>
      <c r="G54" s="40">
        <f>Расчет!M45</f>
        <v>2014496.1658416318</v>
      </c>
      <c r="H54" s="37">
        <v>60414</v>
      </c>
      <c r="I54" s="39" t="s">
        <v>94</v>
      </c>
      <c r="J54" s="40">
        <f t="shared" si="1"/>
        <v>-2014496.1658416318</v>
      </c>
    </row>
    <row r="55" spans="2:10" ht="31.5">
      <c r="B55" s="37">
        <v>31</v>
      </c>
      <c r="C55" s="38">
        <v>43708</v>
      </c>
      <c r="D55" s="44" t="s">
        <v>42</v>
      </c>
      <c r="E55" s="37">
        <v>60302</v>
      </c>
      <c r="F55" s="39" t="s">
        <v>38</v>
      </c>
      <c r="G55" s="46">
        <f>G51</f>
        <v>152.54237288135593</v>
      </c>
      <c r="H55" s="37">
        <v>60310</v>
      </c>
      <c r="I55" s="40" t="s">
        <v>33</v>
      </c>
      <c r="J55" s="40">
        <f t="shared" si="1"/>
        <v>-152.54237288135593</v>
      </c>
    </row>
    <row r="56" spans="2:10" ht="15.75">
      <c r="B56" s="37"/>
      <c r="C56" s="37"/>
      <c r="D56" s="37"/>
      <c r="E56" s="37"/>
      <c r="F56" s="37"/>
      <c r="G56" s="37"/>
      <c r="H56" s="37"/>
      <c r="I56" s="37"/>
      <c r="J56" s="37"/>
    </row>
  </sheetData>
  <sheetProtection/>
  <mergeCells count="5">
    <mergeCell ref="B2:B3"/>
    <mergeCell ref="C2:C3"/>
    <mergeCell ref="D2:D3"/>
    <mergeCell ref="E2:G2"/>
    <mergeCell ref="H2:J2"/>
  </mergeCells>
  <printOptions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5"/>
  <sheetViews>
    <sheetView zoomScalePageLayoutView="0" workbookViewId="0" topLeftCell="A16">
      <selection activeCell="F42" sqref="F42"/>
    </sheetView>
  </sheetViews>
  <sheetFormatPr defaultColWidth="9.140625" defaultRowHeight="15"/>
  <cols>
    <col min="1" max="1" width="3.421875" style="31" customWidth="1"/>
    <col min="2" max="2" width="9.140625" style="50" bestFit="1" customWidth="1"/>
    <col min="3" max="3" width="9.28125" style="31" bestFit="1" customWidth="1"/>
    <col min="4" max="4" width="79.57421875" style="31" bestFit="1" customWidth="1"/>
    <col min="5" max="5" width="14.28125" style="31" customWidth="1"/>
    <col min="6" max="6" width="14.57421875" style="31" bestFit="1" customWidth="1"/>
    <col min="7" max="7" width="15.28125" style="31" customWidth="1"/>
    <col min="8" max="8" width="15.00390625" style="31" customWidth="1"/>
    <col min="9" max="16384" width="9.140625" style="31" customWidth="1"/>
  </cols>
  <sheetData>
    <row r="1" ht="15.75">
      <c r="B1" s="49" t="s">
        <v>57</v>
      </c>
    </row>
    <row r="2" spans="2:9" ht="15.75" customHeight="1">
      <c r="B2" s="93" t="s">
        <v>24</v>
      </c>
      <c r="C2" s="94" t="s">
        <v>58</v>
      </c>
      <c r="D2" s="93" t="s">
        <v>25</v>
      </c>
      <c r="E2" s="96" t="s">
        <v>59</v>
      </c>
      <c r="F2" s="93" t="s">
        <v>60</v>
      </c>
      <c r="G2" s="93"/>
      <c r="H2" s="96" t="s">
        <v>61</v>
      </c>
      <c r="I2" s="50"/>
    </row>
    <row r="3" spans="2:9" ht="15.75" customHeight="1">
      <c r="B3" s="93"/>
      <c r="C3" s="95"/>
      <c r="D3" s="93"/>
      <c r="E3" s="96"/>
      <c r="F3" s="51" t="s">
        <v>22</v>
      </c>
      <c r="G3" s="51" t="s">
        <v>23</v>
      </c>
      <c r="H3" s="96"/>
      <c r="I3" s="50"/>
    </row>
    <row r="4" spans="2:9" ht="15.75" customHeight="1">
      <c r="B4" s="33"/>
      <c r="C4" s="33"/>
      <c r="D4" s="33"/>
      <c r="E4" s="52"/>
      <c r="F4" s="52"/>
      <c r="G4" s="52"/>
      <c r="H4" s="52"/>
      <c r="I4" s="50"/>
    </row>
    <row r="5" spans="2:9" ht="15.75">
      <c r="B5" s="35">
        <v>10207</v>
      </c>
      <c r="C5" s="33" t="s">
        <v>62</v>
      </c>
      <c r="D5" s="39" t="s">
        <v>63</v>
      </c>
      <c r="E5" s="64">
        <v>-1000000</v>
      </c>
      <c r="F5" s="65">
        <v>0</v>
      </c>
      <c r="G5" s="65">
        <v>0</v>
      </c>
      <c r="H5" s="40">
        <f>SUM(E5:G5)</f>
        <v>-1000000</v>
      </c>
      <c r="I5" s="50"/>
    </row>
    <row r="6" spans="2:8" ht="15.75">
      <c r="B6" s="35">
        <v>20501</v>
      </c>
      <c r="C6" s="35" t="s">
        <v>64</v>
      </c>
      <c r="D6" s="39" t="s">
        <v>28</v>
      </c>
      <c r="E6" s="40">
        <f>-E5</f>
        <v>1000000</v>
      </c>
      <c r="F6" s="40">
        <f>SUMIF(Проводки!$E$6:$G$21,B6,Проводки!$G$6:$G$21)</f>
        <v>0</v>
      </c>
      <c r="G6" s="40">
        <f>SUMIF(Проводки!$H$6:$J$21,B6,Проводки!$J$6:$J$21)</f>
        <v>-804800</v>
      </c>
      <c r="H6" s="40">
        <f>SUM(E6:G6)</f>
        <v>195200</v>
      </c>
    </row>
    <row r="7" spans="2:8" ht="15.75">
      <c r="B7" s="35">
        <v>47701</v>
      </c>
      <c r="C7" s="35" t="s">
        <v>64</v>
      </c>
      <c r="D7" s="39" t="s">
        <v>35</v>
      </c>
      <c r="E7" s="40">
        <v>0</v>
      </c>
      <c r="F7" s="40">
        <f>SUMIF(Проводки!$E$6:$G$21,B7,Проводки!$G$6:$G$21)</f>
        <v>0</v>
      </c>
      <c r="G7" s="40">
        <f>SUMIF(Проводки!$H$6:$J$21,B7,Проводки!$J$6:$J$21)</f>
        <v>0</v>
      </c>
      <c r="H7" s="40">
        <f aca="true" t="shared" si="0" ref="H7:H21">SUM(E7:G7)</f>
        <v>0</v>
      </c>
    </row>
    <row r="8" spans="2:8" ht="15.75">
      <c r="B8" s="35">
        <v>60301</v>
      </c>
      <c r="C8" s="35" t="s">
        <v>62</v>
      </c>
      <c r="D8" s="37" t="s">
        <v>38</v>
      </c>
      <c r="E8" s="40">
        <v>0</v>
      </c>
      <c r="F8" s="40">
        <f>SUMIF(Проводки!$E$6:$G$21,B8,Проводки!$G$6:$G$21)</f>
        <v>0</v>
      </c>
      <c r="G8" s="40">
        <f>SUMIF(Проводки!$H$6:$J$21,B8,Проводки!$J$6:$J$21)</f>
        <v>0</v>
      </c>
      <c r="H8" s="40">
        <f t="shared" si="0"/>
        <v>0</v>
      </c>
    </row>
    <row r="9" spans="2:8" ht="15.75">
      <c r="B9" s="35">
        <v>60302</v>
      </c>
      <c r="C9" s="33" t="s">
        <v>64</v>
      </c>
      <c r="D9" s="37" t="s">
        <v>38</v>
      </c>
      <c r="E9" s="40">
        <v>0</v>
      </c>
      <c r="F9" s="40">
        <f>SUMIF(Проводки!$E$6:$G$21,B9,Проводки!$G$6:$G$21)</f>
        <v>119633.85266278138</v>
      </c>
      <c r="G9" s="40">
        <f>SUMIF(Проводки!$H$6:$J$21,B9,Проводки!$J$6:$J$21)</f>
        <v>0</v>
      </c>
      <c r="H9" s="40">
        <f t="shared" si="0"/>
        <v>119633.85266278138</v>
      </c>
    </row>
    <row r="10" spans="2:8" ht="15.75">
      <c r="B10" s="35">
        <v>60309</v>
      </c>
      <c r="C10" s="33" t="s">
        <v>62</v>
      </c>
      <c r="D10" s="37" t="s">
        <v>37</v>
      </c>
      <c r="E10" s="40">
        <v>0</v>
      </c>
      <c r="F10" s="40">
        <f>SUMIF(Проводки!$E$6:$G$21,B10,Проводки!$G$6:$G$21)</f>
        <v>0</v>
      </c>
      <c r="G10" s="40">
        <f>SUMIF(Проводки!$H$6:$J$21,B10,Проводки!$J$6:$J$21)</f>
        <v>0</v>
      </c>
      <c r="H10" s="40">
        <f t="shared" si="0"/>
        <v>0</v>
      </c>
    </row>
    <row r="11" spans="2:8" ht="15.75">
      <c r="B11" s="35">
        <v>60310</v>
      </c>
      <c r="C11" s="33" t="s">
        <v>64</v>
      </c>
      <c r="D11" s="37" t="s">
        <v>33</v>
      </c>
      <c r="E11" s="40">
        <v>0</v>
      </c>
      <c r="F11" s="40">
        <f>SUMIF(Проводки!$E$6:$G$21,B11,Проводки!$G$6:$G$21)</f>
        <v>119633.85266278138</v>
      </c>
      <c r="G11" s="40">
        <f>SUMIF(Проводки!$H$6:$J$21,B11,Проводки!$J$6:$J$21)</f>
        <v>-119633.85266278138</v>
      </c>
      <c r="H11" s="40">
        <f t="shared" si="0"/>
        <v>0</v>
      </c>
    </row>
    <row r="12" spans="2:8" ht="15.75">
      <c r="B12" s="35">
        <v>60311</v>
      </c>
      <c r="C12" s="33" t="s">
        <v>62</v>
      </c>
      <c r="D12" s="37" t="s">
        <v>29</v>
      </c>
      <c r="E12" s="40">
        <v>0</v>
      </c>
      <c r="F12" s="40">
        <f>SUMIF(Проводки!$E$6:$G$21,B12,Проводки!$G$6:$G$21)</f>
        <v>0</v>
      </c>
      <c r="G12" s="40">
        <f>SUMIF(Проводки!$H$6:$J$21,B12,Проводки!$J$6:$J$21)</f>
        <v>-1444.0221543068067</v>
      </c>
      <c r="H12" s="40">
        <f>SUM(E12:G12)</f>
        <v>-1444.0221543068067</v>
      </c>
    </row>
    <row r="13" spans="2:8" ht="15.75">
      <c r="B13" s="35">
        <v>60312</v>
      </c>
      <c r="C13" s="33" t="s">
        <v>64</v>
      </c>
      <c r="D13" s="37" t="s">
        <v>29</v>
      </c>
      <c r="E13" s="40">
        <v>0</v>
      </c>
      <c r="F13" s="40">
        <f>SUMIF(Проводки!$E$6:$G$21,B13,Проводки!$G$6:$G$21)</f>
        <v>804800</v>
      </c>
      <c r="G13" s="40">
        <f>SUMIF(Проводки!$H$6:$J$21,B13,Проводки!$J$6:$J$21)</f>
        <v>-804800</v>
      </c>
      <c r="H13" s="40">
        <f t="shared" si="0"/>
        <v>0</v>
      </c>
    </row>
    <row r="14" spans="2:8" ht="15.75">
      <c r="B14" s="35">
        <v>60401</v>
      </c>
      <c r="C14" s="33" t="s">
        <v>64</v>
      </c>
      <c r="D14" s="37" t="s">
        <v>32</v>
      </c>
      <c r="E14" s="40">
        <v>0</v>
      </c>
      <c r="F14" s="40">
        <f>SUMIF(Проводки!$E$6:$G$21,B14,Проводки!$G$6:$G$21)</f>
        <v>0</v>
      </c>
      <c r="G14" s="40">
        <f>SUMIF(Проводки!$H$6:$J$21,B14,Проводки!$J$6:$J$21)</f>
        <v>0</v>
      </c>
      <c r="H14" s="40">
        <f t="shared" si="0"/>
        <v>0</v>
      </c>
    </row>
    <row r="15" spans="2:8" ht="31.5">
      <c r="B15" s="35">
        <v>60415</v>
      </c>
      <c r="C15" s="63" t="s">
        <v>64</v>
      </c>
      <c r="D15" s="39" t="s">
        <v>30</v>
      </c>
      <c r="E15" s="40">
        <v>0</v>
      </c>
      <c r="F15" s="40">
        <f>SUMIF(Проводки!$E$6:$G$21,B15,Проводки!$G$6:$G$21)</f>
        <v>3359333.332261936</v>
      </c>
      <c r="G15" s="40">
        <f>SUMIF(Проводки!$H$6:$J$21,B15,Проводки!$J$6:$J$21)</f>
        <v>-3359333.332261936</v>
      </c>
      <c r="H15" s="40">
        <f t="shared" si="0"/>
        <v>0</v>
      </c>
    </row>
    <row r="16" spans="2:8" ht="15.75">
      <c r="B16" s="35">
        <v>60804</v>
      </c>
      <c r="C16" s="33" t="s">
        <v>64</v>
      </c>
      <c r="D16" s="39" t="s">
        <v>67</v>
      </c>
      <c r="E16" s="40">
        <v>0</v>
      </c>
      <c r="F16" s="40">
        <f>SUMIF(Проводки!$E$6:$G$21,B16,Проводки!$G$6:$G$21)</f>
        <v>3359333.332261936</v>
      </c>
      <c r="G16" s="40">
        <f>SUMIF(Проводки!$H$6:$J$21,B16,Проводки!$J$6:$J$21)</f>
        <v>0</v>
      </c>
      <c r="H16" s="40">
        <f>SUM(E16:G16)</f>
        <v>3359333.332261936</v>
      </c>
    </row>
    <row r="17" spans="2:8" ht="15.75">
      <c r="B17" s="35">
        <v>60805</v>
      </c>
      <c r="C17" s="33" t="s">
        <v>62</v>
      </c>
      <c r="D17" s="39" t="s">
        <v>56</v>
      </c>
      <c r="E17" s="40">
        <v>0</v>
      </c>
      <c r="F17" s="40">
        <f>SUMIF(Проводки!$E$6:$G$21,B17,Проводки!$G$6:$G$21)</f>
        <v>0</v>
      </c>
      <c r="G17" s="40">
        <f>SUMIF(Проводки!$H$6:$J$21,B17,Проводки!$J$6:$J$21)</f>
        <v>-11038.335155296612</v>
      </c>
      <c r="H17" s="40">
        <f>SUM(E17:G17)</f>
        <v>-11038.335155296612</v>
      </c>
    </row>
    <row r="18" spans="2:8" ht="15.75">
      <c r="B18" s="35">
        <v>60806</v>
      </c>
      <c r="C18" s="33" t="s">
        <v>62</v>
      </c>
      <c r="D18" s="39" t="s">
        <v>68</v>
      </c>
      <c r="E18" s="40">
        <v>0</v>
      </c>
      <c r="F18" s="40">
        <f>SUMIF(Проводки!$E$6:$G$21,B18,Проводки!$G$6:$G$21)</f>
        <v>0</v>
      </c>
      <c r="G18" s="40">
        <f>SUMIF(Проводки!$H$6:$J$21,B18,Проводки!$J$6:$J$21)</f>
        <v>-2680745.508072115</v>
      </c>
      <c r="H18" s="40">
        <f>SUM(E18:G18)</f>
        <v>-2680745.508072115</v>
      </c>
    </row>
    <row r="19" spans="2:8" ht="15.75">
      <c r="B19" s="35">
        <v>71101</v>
      </c>
      <c r="C19" s="55" t="s">
        <v>64</v>
      </c>
      <c r="D19" s="39" t="s">
        <v>70</v>
      </c>
      <c r="E19" s="40">
        <v>0</v>
      </c>
      <c r="F19" s="40">
        <f>SUMIF(Проводки!$E$6:$G$21,B19,Проводки!$G$6:$G$21)</f>
        <v>8022.345301704481</v>
      </c>
      <c r="G19" s="40">
        <f>SUMIF(Проводки!$H$6:$J$21,B19,Проводки!$J$6:$J$21)</f>
        <v>0</v>
      </c>
      <c r="H19" s="40">
        <f t="shared" si="0"/>
        <v>8022.345301704481</v>
      </c>
    </row>
    <row r="20" spans="2:8" ht="15.75">
      <c r="B20" s="50">
        <v>71702</v>
      </c>
      <c r="C20" s="55" t="s">
        <v>64</v>
      </c>
      <c r="D20" s="39" t="s">
        <v>80</v>
      </c>
      <c r="E20" s="40">
        <v>0</v>
      </c>
      <c r="F20" s="40">
        <f>SUMIF(Проводки!$E$6:$G$21,B20,Проводки!$G$6:$G$21)</f>
        <v>0</v>
      </c>
      <c r="G20" s="40">
        <f>SUMIF(Проводки!$H$6:$J$21,B20,Проводки!$J$6:$J$21)</f>
        <v>0</v>
      </c>
      <c r="H20" s="40">
        <f>SUM(E20:G20)</f>
        <v>0</v>
      </c>
    </row>
    <row r="21" spans="2:8" ht="15.75">
      <c r="B21" s="50">
        <v>71802</v>
      </c>
      <c r="C21" s="55" t="s">
        <v>64</v>
      </c>
      <c r="D21" s="39" t="s">
        <v>77</v>
      </c>
      <c r="E21" s="40">
        <v>0</v>
      </c>
      <c r="F21" s="40">
        <f>SUMIF(Проводки!$E$6:$G$21,B21,Проводки!$G$6:$G$21)</f>
        <v>11038.335155296612</v>
      </c>
      <c r="G21" s="40">
        <f>SUMIF(Проводки!$H$6:$J$21,B21,Проводки!$J$6:$J$21)</f>
        <v>0</v>
      </c>
      <c r="H21" s="40">
        <f t="shared" si="0"/>
        <v>11038.335155296612</v>
      </c>
    </row>
    <row r="22" spans="2:8" ht="15.75">
      <c r="B22" s="56" t="s">
        <v>65</v>
      </c>
      <c r="C22" s="57"/>
      <c r="D22" s="58"/>
      <c r="E22" s="59">
        <f>SUM(E5:E21)</f>
        <v>0</v>
      </c>
      <c r="F22" s="59">
        <f>SUM(F5:F21)</f>
        <v>7781795.050306436</v>
      </c>
      <c r="G22" s="59">
        <f>SUM(G5:G21)</f>
        <v>-7781795.050306436</v>
      </c>
      <c r="H22" s="59">
        <f>SUM(H5:H21)</f>
        <v>0</v>
      </c>
    </row>
    <row r="23" spans="5:8" ht="15.75">
      <c r="E23" s="54"/>
      <c r="F23" s="54"/>
      <c r="G23" s="54"/>
      <c r="H23" s="54"/>
    </row>
    <row r="24" spans="2:8" ht="15.75">
      <c r="B24" s="60" t="s">
        <v>66</v>
      </c>
      <c r="E24" s="54"/>
      <c r="F24" s="54"/>
      <c r="G24" s="54"/>
      <c r="H24" s="54"/>
    </row>
    <row r="25" spans="2:8" ht="15.75">
      <c r="B25" s="93" t="s">
        <v>24</v>
      </c>
      <c r="C25" s="94" t="s">
        <v>58</v>
      </c>
      <c r="D25" s="93" t="s">
        <v>25</v>
      </c>
      <c r="E25" s="92" t="s">
        <v>59</v>
      </c>
      <c r="F25" s="97" t="s">
        <v>60</v>
      </c>
      <c r="G25" s="97"/>
      <c r="H25" s="92" t="s">
        <v>61</v>
      </c>
    </row>
    <row r="26" spans="2:8" ht="15.75">
      <c r="B26" s="93"/>
      <c r="C26" s="95"/>
      <c r="D26" s="93"/>
      <c r="E26" s="92"/>
      <c r="F26" s="61" t="s">
        <v>22</v>
      </c>
      <c r="G26" s="61" t="s">
        <v>23</v>
      </c>
      <c r="H26" s="92"/>
    </row>
    <row r="27" spans="2:8" ht="15.75">
      <c r="B27" s="33"/>
      <c r="C27" s="33"/>
      <c r="D27" s="33"/>
      <c r="E27" s="52"/>
      <c r="F27" s="52"/>
      <c r="G27" s="52"/>
      <c r="H27" s="52"/>
    </row>
    <row r="28" spans="2:8" ht="15.75">
      <c r="B28" s="35">
        <v>10207</v>
      </c>
      <c r="C28" s="33" t="s">
        <v>62</v>
      </c>
      <c r="D28" s="39" t="s">
        <v>63</v>
      </c>
      <c r="E28" s="52">
        <f aca="true" t="shared" si="1" ref="E28:E36">H5</f>
        <v>-1000000</v>
      </c>
      <c r="F28" s="53">
        <v>0</v>
      </c>
      <c r="G28" s="53">
        <v>0</v>
      </c>
      <c r="H28" s="54">
        <f>SUM(E28:G28)</f>
        <v>-1000000</v>
      </c>
    </row>
    <row r="29" spans="2:8" ht="15.75">
      <c r="B29" s="35">
        <v>20501</v>
      </c>
      <c r="C29" s="35" t="s">
        <v>64</v>
      </c>
      <c r="D29" s="39" t="s">
        <v>28</v>
      </c>
      <c r="E29" s="52">
        <f t="shared" si="1"/>
        <v>195200</v>
      </c>
      <c r="F29" s="40">
        <f>SUMIF(Проводки!$E$25:$G$37,B29,Проводки!$G$25:$G$37)</f>
        <v>0</v>
      </c>
      <c r="G29" s="40">
        <f>SUMIF(Проводки!$H$25:$J$37,B29,Проводки!$J$25:$J$37)</f>
        <v>-153116.48</v>
      </c>
      <c r="H29" s="54">
        <f aca="true" t="shared" si="2" ref="H29:H44">SUM(E29:G29)</f>
        <v>42083.51999999999</v>
      </c>
    </row>
    <row r="30" spans="2:8" ht="15.75">
      <c r="B30" s="35">
        <v>47701</v>
      </c>
      <c r="C30" s="35" t="s">
        <v>64</v>
      </c>
      <c r="D30" s="39" t="s">
        <v>35</v>
      </c>
      <c r="E30" s="52">
        <f t="shared" si="1"/>
        <v>0</v>
      </c>
      <c r="F30" s="40">
        <f>SUMIF(Проводки!$E$25:$G$37,B30,Проводки!$G$25:$G$37)</f>
        <v>0</v>
      </c>
      <c r="G30" s="40">
        <f>SUMIF(Проводки!$H$25:$J$37,B30,Проводки!$J$25:$J$37)</f>
        <v>0</v>
      </c>
      <c r="H30" s="54">
        <f t="shared" si="2"/>
        <v>0</v>
      </c>
    </row>
    <row r="31" spans="2:8" ht="15.75">
      <c r="B31" s="35">
        <v>60301</v>
      </c>
      <c r="C31" s="35" t="s">
        <v>62</v>
      </c>
      <c r="D31" s="37" t="s">
        <v>38</v>
      </c>
      <c r="E31" s="52">
        <f t="shared" si="1"/>
        <v>0</v>
      </c>
      <c r="F31" s="40">
        <f>SUMIF(Проводки!$E$25:$G$37,B31,Проводки!$G$25:$G$37)</f>
        <v>0</v>
      </c>
      <c r="G31" s="40">
        <f>SUMIF(Проводки!$H$25:$J$37,B31,Проводки!$J$25:$J$37)</f>
        <v>0</v>
      </c>
      <c r="H31" s="54">
        <f t="shared" si="2"/>
        <v>0</v>
      </c>
    </row>
    <row r="32" spans="2:8" ht="15.75">
      <c r="B32" s="35">
        <v>60302</v>
      </c>
      <c r="C32" s="33" t="s">
        <v>64</v>
      </c>
      <c r="D32" s="37" t="s">
        <v>38</v>
      </c>
      <c r="E32" s="52">
        <f t="shared" si="1"/>
        <v>119633.85266278138</v>
      </c>
      <c r="F32" s="40">
        <f>SUMIF(Проводки!$E$25:$G$37,B32,Проводки!$G$25:$G$37)</f>
        <v>23076.146533076746</v>
      </c>
      <c r="G32" s="40">
        <f>SUMIF(Проводки!$H$25:$J$37,B32,Проводки!$J$25:$J$37)</f>
        <v>0</v>
      </c>
      <c r="H32" s="54">
        <f t="shared" si="2"/>
        <v>142709.99919585814</v>
      </c>
    </row>
    <row r="33" spans="2:8" ht="15.75">
      <c r="B33" s="35">
        <v>60309</v>
      </c>
      <c r="C33" s="33" t="s">
        <v>62</v>
      </c>
      <c r="D33" s="37" t="s">
        <v>37</v>
      </c>
      <c r="E33" s="52">
        <f t="shared" si="1"/>
        <v>0</v>
      </c>
      <c r="F33" s="40">
        <f>SUMIF(Проводки!$E$25:$G$37,B33,Проводки!$G$25:$G$37)</f>
        <v>0</v>
      </c>
      <c r="G33" s="40">
        <f>SUMIF(Проводки!$H$25:$J$37,B33,Проводки!$J$25:$J$37)</f>
        <v>0</v>
      </c>
      <c r="H33" s="54">
        <f t="shared" si="2"/>
        <v>0</v>
      </c>
    </row>
    <row r="34" spans="2:8" ht="15.75">
      <c r="B34" s="35">
        <v>60310</v>
      </c>
      <c r="C34" s="33" t="s">
        <v>64</v>
      </c>
      <c r="D34" s="37" t="s">
        <v>33</v>
      </c>
      <c r="E34" s="52">
        <f t="shared" si="1"/>
        <v>0</v>
      </c>
      <c r="F34" s="40">
        <f>SUMIF(Проводки!$E$25:$G$37,B34,Проводки!$G$25:$G$37)</f>
        <v>23076.146533076746</v>
      </c>
      <c r="G34" s="40">
        <f>SUMIF(Проводки!$H$25:$J$37,B34,Проводки!$J$25:$J$37)</f>
        <v>-23076.146533076746</v>
      </c>
      <c r="H34" s="54">
        <f t="shared" si="2"/>
        <v>0</v>
      </c>
    </row>
    <row r="35" spans="2:8" ht="15.75">
      <c r="B35" s="35">
        <v>60311</v>
      </c>
      <c r="C35" s="33" t="s">
        <v>62</v>
      </c>
      <c r="D35" s="37" t="s">
        <v>29</v>
      </c>
      <c r="E35" s="52">
        <f t="shared" si="1"/>
        <v>-1444.0221543068067</v>
      </c>
      <c r="F35" s="40">
        <f>SUMIF(Проводки!$E$25:$G$37,B35,Проводки!$G$25:$G$37)</f>
        <v>153116.48</v>
      </c>
      <c r="G35" s="40">
        <f>SUMIF(Проводки!$H$25:$J$37,B35,Проводки!$J$25:$J$37)</f>
        <v>-152835.87534663605</v>
      </c>
      <c r="H35" s="54">
        <f>SUM(E35:G35)</f>
        <v>-1163.4175009428582</v>
      </c>
    </row>
    <row r="36" spans="2:8" ht="15.75">
      <c r="B36" s="35">
        <v>60312</v>
      </c>
      <c r="C36" s="33" t="s">
        <v>64</v>
      </c>
      <c r="D36" s="37" t="s">
        <v>29</v>
      </c>
      <c r="E36" s="52">
        <f t="shared" si="1"/>
        <v>0</v>
      </c>
      <c r="F36" s="40">
        <f>SUMIF(Проводки!$E$25:$G$37,B36,Проводки!$G$25:$G$37)</f>
        <v>0</v>
      </c>
      <c r="G36" s="40">
        <f>SUMIF(Проводки!$H$25:$J$37,B36,Проводки!$J$25:$J$37)</f>
        <v>0</v>
      </c>
      <c r="H36" s="54">
        <f t="shared" si="2"/>
        <v>0</v>
      </c>
    </row>
    <row r="37" spans="2:8" ht="15.75">
      <c r="B37" s="35">
        <v>60401</v>
      </c>
      <c r="C37" s="33" t="s">
        <v>64</v>
      </c>
      <c r="D37" s="37" t="s">
        <v>32</v>
      </c>
      <c r="E37" s="52">
        <f aca="true" t="shared" si="3" ref="E37:E42">H14</f>
        <v>0</v>
      </c>
      <c r="F37" s="40">
        <f>SUMIF(Проводки!$E$25:$G$37,B37,Проводки!$G$25:$G$37)</f>
        <v>0</v>
      </c>
      <c r="G37" s="40">
        <f>SUMIF(Проводки!$H$25:$J$37,B37,Проводки!$J$25:$J$37)</f>
        <v>0</v>
      </c>
      <c r="H37" s="54">
        <f t="shared" si="2"/>
        <v>0</v>
      </c>
    </row>
    <row r="38" spans="2:8" ht="31.5">
      <c r="B38" s="35">
        <v>60415</v>
      </c>
      <c r="C38" s="63" t="s">
        <v>64</v>
      </c>
      <c r="D38" s="39" t="s">
        <v>30</v>
      </c>
      <c r="E38" s="64">
        <f t="shared" si="3"/>
        <v>0</v>
      </c>
      <c r="F38" s="40">
        <f>SUMIF(Проводки!$E$25:$G$37,B38,Проводки!$G$25:$G$37)</f>
        <v>0</v>
      </c>
      <c r="G38" s="40">
        <f>SUMIF(Проводки!$H$25:$J$37,B38,Проводки!$J$25:$J$37)</f>
        <v>0</v>
      </c>
      <c r="H38" s="40">
        <f t="shared" si="2"/>
        <v>0</v>
      </c>
    </row>
    <row r="39" spans="2:8" ht="15.75">
      <c r="B39" s="35">
        <v>60804</v>
      </c>
      <c r="C39" s="33" t="s">
        <v>64</v>
      </c>
      <c r="D39" s="39" t="s">
        <v>67</v>
      </c>
      <c r="E39" s="52">
        <f t="shared" si="3"/>
        <v>3359333.332261936</v>
      </c>
      <c r="F39" s="40">
        <f>SUMIF(Проводки!$E$25:$G$37,B39,Проводки!$G$25:$G$37)</f>
        <v>0</v>
      </c>
      <c r="G39" s="40">
        <f>SUMIF(Проводки!$H$25:$J$37,B39,Проводки!$J$25:$J$37)</f>
        <v>0</v>
      </c>
      <c r="H39" s="54">
        <f t="shared" si="2"/>
        <v>3359333.332261936</v>
      </c>
    </row>
    <row r="40" spans="2:8" ht="15.75">
      <c r="B40" s="35">
        <v>60805</v>
      </c>
      <c r="C40" s="33" t="s">
        <v>62</v>
      </c>
      <c r="D40" s="39" t="s">
        <v>56</v>
      </c>
      <c r="E40" s="52">
        <f t="shared" si="3"/>
        <v>-11038.335155296612</v>
      </c>
      <c r="F40" s="40">
        <f>SUMIF(Проводки!$E$25:$G$37,B40,Проводки!$G$25:$G$37)</f>
        <v>0</v>
      </c>
      <c r="G40" s="40">
        <f>SUMIF(Проводки!$H$25:$J$37,B40,Проводки!$J$25:$J$37)</f>
        <v>-55191.67577648306</v>
      </c>
      <c r="H40" s="54">
        <f t="shared" si="2"/>
        <v>-66230.01093177967</v>
      </c>
    </row>
    <row r="41" spans="2:8" ht="15.75">
      <c r="B41" s="35">
        <v>60806</v>
      </c>
      <c r="C41" s="33" t="s">
        <v>62</v>
      </c>
      <c r="D41" s="39" t="s">
        <v>68</v>
      </c>
      <c r="E41" s="52">
        <f t="shared" si="3"/>
        <v>-2680745.508072115</v>
      </c>
      <c r="F41" s="40">
        <f>SUMIF(Проводки!$E$25:$G$37,B41,Проводки!$G$25:$G$37)</f>
        <v>129759.72881355933</v>
      </c>
      <c r="G41" s="40">
        <f>SUMIF(Проводки!$H$25:$J$37,B41,Проводки!$J$25:$J$37)</f>
        <v>-40149.88166374159</v>
      </c>
      <c r="H41" s="54">
        <f t="shared" si="2"/>
        <v>-2591135.6609222973</v>
      </c>
    </row>
    <row r="42" spans="2:8" ht="15.75">
      <c r="B42" s="35">
        <v>71101</v>
      </c>
      <c r="C42" s="55" t="s">
        <v>64</v>
      </c>
      <c r="D42" s="39" t="s">
        <v>70</v>
      </c>
      <c r="E42" s="52">
        <f t="shared" si="3"/>
        <v>8022.345301704481</v>
      </c>
      <c r="F42" s="40">
        <f>SUMIF(Проводки!$E$25:$G$37,B42,Проводки!$G$25:$G$37)</f>
        <v>40149.88166374159</v>
      </c>
      <c r="G42" s="40">
        <f>SUMIF(Проводки!$H$25:$J$37,B42,Проводки!$J$25:$J$37)</f>
        <v>0</v>
      </c>
      <c r="H42" s="54">
        <f t="shared" si="2"/>
        <v>48172.22696544607</v>
      </c>
    </row>
    <row r="43" spans="2:8" ht="15.75">
      <c r="B43" s="50">
        <v>71702</v>
      </c>
      <c r="C43" s="55" t="s">
        <v>64</v>
      </c>
      <c r="D43" s="39" t="s">
        <v>80</v>
      </c>
      <c r="E43" s="52">
        <f>H20</f>
        <v>0</v>
      </c>
      <c r="F43" s="40">
        <f>SUMIF(Проводки!$E$25:$G$37,B43,Проводки!$G$25:$G$37)</f>
        <v>0</v>
      </c>
      <c r="G43" s="40">
        <f>SUMIF(Проводки!$H$25:$J$37,B43,Проводки!$J$25:$J$37)</f>
        <v>0</v>
      </c>
      <c r="H43" s="54">
        <f>SUM(E43:G43)</f>
        <v>0</v>
      </c>
    </row>
    <row r="44" spans="2:8" ht="15.75">
      <c r="B44" s="50">
        <v>71802</v>
      </c>
      <c r="C44" s="55" t="s">
        <v>64</v>
      </c>
      <c r="D44" s="39" t="s">
        <v>77</v>
      </c>
      <c r="E44" s="52">
        <f>H21</f>
        <v>11038.335155296612</v>
      </c>
      <c r="F44" s="40">
        <f>SUMIF(Проводки!$E$25:$G$37,B44,Проводки!$G$25:$G$37)</f>
        <v>55191.67577648306</v>
      </c>
      <c r="G44" s="40">
        <f>SUMIF(Проводки!$H$25:$J$37,B44,Проводки!$J$25:$J$37)</f>
        <v>0</v>
      </c>
      <c r="H44" s="54">
        <f t="shared" si="2"/>
        <v>66230.01093177967</v>
      </c>
    </row>
    <row r="45" spans="2:8" ht="15.75">
      <c r="B45" s="56" t="s">
        <v>65</v>
      </c>
      <c r="C45" s="56"/>
      <c r="D45" s="62"/>
      <c r="E45" s="59">
        <f>SUM(E28:E44)</f>
        <v>0</v>
      </c>
      <c r="F45" s="59">
        <f>SUM(F28:F44)</f>
        <v>424370.05931993754</v>
      </c>
      <c r="G45" s="59">
        <f>SUM(G28:G44)</f>
        <v>-424370.0593199375</v>
      </c>
      <c r="H45" s="59">
        <f>SUM(H28:H44)</f>
        <v>0</v>
      </c>
    </row>
  </sheetData>
  <sheetProtection/>
  <mergeCells count="12">
    <mergeCell ref="H25:H26"/>
    <mergeCell ref="B2:B3"/>
    <mergeCell ref="C2:C3"/>
    <mergeCell ref="D2:D3"/>
    <mergeCell ref="E2:E3"/>
    <mergeCell ref="F2:G2"/>
    <mergeCell ref="H2:H3"/>
    <mergeCell ref="B25:B26"/>
    <mergeCell ref="C25:C26"/>
    <mergeCell ref="D25:D26"/>
    <mergeCell ref="E25:E26"/>
    <mergeCell ref="F25:G25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.421875" style="31" customWidth="1"/>
    <col min="2" max="2" width="9.140625" style="50" bestFit="1" customWidth="1"/>
    <col min="3" max="3" width="9.28125" style="31" bestFit="1" customWidth="1"/>
    <col min="4" max="4" width="79.57421875" style="31" bestFit="1" customWidth="1"/>
    <col min="5" max="5" width="14.28125" style="31" customWidth="1"/>
    <col min="6" max="6" width="14.57421875" style="31" bestFit="1" customWidth="1"/>
    <col min="7" max="7" width="15.28125" style="31" customWidth="1"/>
    <col min="8" max="8" width="15.00390625" style="31" customWidth="1"/>
    <col min="9" max="16384" width="9.140625" style="31" customWidth="1"/>
  </cols>
  <sheetData>
    <row r="1" spans="5:8" ht="15.75">
      <c r="E1" s="54"/>
      <c r="F1" s="54"/>
      <c r="G1" s="54"/>
      <c r="H1" s="54"/>
    </row>
    <row r="2" spans="2:8" ht="15.75">
      <c r="B2" s="60" t="s">
        <v>66</v>
      </c>
      <c r="E2" s="54"/>
      <c r="F2" s="54"/>
      <c r="G2" s="54"/>
      <c r="H2" s="54"/>
    </row>
    <row r="3" spans="2:8" ht="15.75">
      <c r="B3" s="93" t="s">
        <v>24</v>
      </c>
      <c r="C3" s="94" t="s">
        <v>58</v>
      </c>
      <c r="D3" s="93" t="s">
        <v>25</v>
      </c>
      <c r="E3" s="92" t="s">
        <v>59</v>
      </c>
      <c r="F3" s="97" t="s">
        <v>60</v>
      </c>
      <c r="G3" s="97"/>
      <c r="H3" s="92" t="s">
        <v>61</v>
      </c>
    </row>
    <row r="4" spans="2:8" ht="15.75">
      <c r="B4" s="93"/>
      <c r="C4" s="95"/>
      <c r="D4" s="93"/>
      <c r="E4" s="92"/>
      <c r="F4" s="61" t="s">
        <v>22</v>
      </c>
      <c r="G4" s="61" t="s">
        <v>23</v>
      </c>
      <c r="H4" s="92"/>
    </row>
    <row r="5" spans="2:8" ht="15.75">
      <c r="B5" s="33"/>
      <c r="C5" s="33"/>
      <c r="D5" s="33"/>
      <c r="E5" s="52"/>
      <c r="F5" s="52"/>
      <c r="G5" s="52"/>
      <c r="H5" s="52"/>
    </row>
    <row r="6" spans="2:8" ht="15.75">
      <c r="B6" s="35">
        <v>10207</v>
      </c>
      <c r="C6" s="33" t="s">
        <v>62</v>
      </c>
      <c r="D6" s="39" t="s">
        <v>63</v>
      </c>
      <c r="E6" s="52">
        <f>ОСВ!E28</f>
        <v>-1000000</v>
      </c>
      <c r="F6" s="53">
        <v>0</v>
      </c>
      <c r="G6" s="53">
        <v>0</v>
      </c>
      <c r="H6" s="54">
        <f>SUM(E6:G6)</f>
        <v>-1000000</v>
      </c>
    </row>
    <row r="7" spans="2:8" ht="15.75">
      <c r="B7" s="35">
        <v>20501</v>
      </c>
      <c r="C7" s="35" t="s">
        <v>64</v>
      </c>
      <c r="D7" s="39" t="s">
        <v>28</v>
      </c>
      <c r="E7" s="52">
        <f>ОСВ!E29</f>
        <v>195200</v>
      </c>
      <c r="F7" s="40">
        <f>SUMIF(Проводки!$E$25:$G$47,B7,Проводки!$G$25:$G$47)</f>
        <v>0</v>
      </c>
      <c r="G7" s="40">
        <f>SUMIF(Проводки!$H$25:$J$47,B7,Проводки!$J$25:$J$47)</f>
        <v>-160743.3280617366</v>
      </c>
      <c r="H7" s="54">
        <f aca="true" t="shared" si="0" ref="H7:H23">SUM(E7:G7)</f>
        <v>34456.671938263404</v>
      </c>
    </row>
    <row r="8" spans="2:8" ht="15.75">
      <c r="B8" s="35">
        <v>47701</v>
      </c>
      <c r="C8" s="35" t="s">
        <v>64</v>
      </c>
      <c r="D8" s="39" t="s">
        <v>35</v>
      </c>
      <c r="E8" s="52">
        <f>ОСВ!E30</f>
        <v>0</v>
      </c>
      <c r="F8" s="40">
        <f>SUMIF(Проводки!$E$25:$G$47,B8,Проводки!$G$25:$G$47)</f>
        <v>0</v>
      </c>
      <c r="G8" s="40">
        <f>SUMIF(Проводки!$H$25:$J$47,B8,Проводки!$J$25:$J$47)</f>
        <v>0</v>
      </c>
      <c r="H8" s="54">
        <f t="shared" si="0"/>
        <v>0</v>
      </c>
    </row>
    <row r="9" spans="2:8" ht="15.75">
      <c r="B9" s="35">
        <v>60301</v>
      </c>
      <c r="C9" s="35" t="s">
        <v>62</v>
      </c>
      <c r="D9" s="37" t="s">
        <v>38</v>
      </c>
      <c r="E9" s="52">
        <f>ОСВ!E31</f>
        <v>0</v>
      </c>
      <c r="F9" s="40">
        <f>SUMIF(Проводки!$E$25:$G$47,B9,Проводки!$G$25:$G$47)</f>
        <v>0</v>
      </c>
      <c r="G9" s="40">
        <f>SUMIF(Проводки!$H$25:$J$47,B9,Проводки!$J$25:$J$47)</f>
        <v>0</v>
      </c>
      <c r="H9" s="54">
        <f t="shared" si="0"/>
        <v>0</v>
      </c>
    </row>
    <row r="10" spans="2:8" ht="15.75">
      <c r="B10" s="35">
        <v>60302</v>
      </c>
      <c r="C10" s="33" t="s">
        <v>64</v>
      </c>
      <c r="D10" s="37" t="s">
        <v>38</v>
      </c>
      <c r="E10" s="52">
        <f>ОСВ!E32</f>
        <v>119633.85266278138</v>
      </c>
      <c r="F10" s="40">
        <f>SUMIF(Проводки!$E$25:$G$47,B10,Проводки!$G$25:$G$47)</f>
        <v>23076.146533076746</v>
      </c>
      <c r="G10" s="40">
        <f>SUMIF(Проводки!$H$25:$J$47,B10,Проводки!$J$25:$J$47)</f>
        <v>0</v>
      </c>
      <c r="H10" s="54">
        <f t="shared" si="0"/>
        <v>142709.99919585814</v>
      </c>
    </row>
    <row r="11" spans="2:8" ht="15.75">
      <c r="B11" s="35">
        <v>60309</v>
      </c>
      <c r="C11" s="33" t="s">
        <v>62</v>
      </c>
      <c r="D11" s="37" t="s">
        <v>37</v>
      </c>
      <c r="E11" s="52">
        <f>ОСВ!E33</f>
        <v>0</v>
      </c>
      <c r="F11" s="40">
        <f>SUMIF(Проводки!$E$25:$G$47,B11,Проводки!$G$25:$G$47)</f>
        <v>0</v>
      </c>
      <c r="G11" s="40">
        <f>SUMIF(Проводки!$H$25:$J$47,B11,Проводки!$J$25:$J$47)</f>
        <v>0</v>
      </c>
      <c r="H11" s="54">
        <f t="shared" si="0"/>
        <v>0</v>
      </c>
    </row>
    <row r="12" spans="2:8" ht="15.75">
      <c r="B12" s="35">
        <v>60310</v>
      </c>
      <c r="C12" s="33" t="s">
        <v>64</v>
      </c>
      <c r="D12" s="37" t="s">
        <v>33</v>
      </c>
      <c r="E12" s="52">
        <f>ОСВ!E34</f>
        <v>0</v>
      </c>
      <c r="F12" s="40">
        <f>SUMIF(Проводки!$E$25:$G$47,B12,Проводки!$G$25:$G$47)</f>
        <v>23076.146533076746</v>
      </c>
      <c r="G12" s="40">
        <f>SUMIF(Проводки!$H$25:$J$47,B12,Проводки!$J$25:$J$47)</f>
        <v>-23076.146533076746</v>
      </c>
      <c r="H12" s="54">
        <f t="shared" si="0"/>
        <v>0</v>
      </c>
    </row>
    <row r="13" spans="2:8" ht="15.75">
      <c r="B13" s="35">
        <v>60311</v>
      </c>
      <c r="C13" s="33" t="s">
        <v>62</v>
      </c>
      <c r="D13" s="37" t="s">
        <v>29</v>
      </c>
      <c r="E13" s="52">
        <f>ОСВ!E35</f>
        <v>-1444.0221543068067</v>
      </c>
      <c r="F13" s="40">
        <f>SUMIF(Проводки!$E$25:$G$47,B13,Проводки!$G$25:$G$47)</f>
        <v>160743.3280617366</v>
      </c>
      <c r="G13" s="40">
        <f>SUMIF(Проводки!$H$25:$J$47,B13,Проводки!$J$25:$J$47)</f>
        <v>-159299.30590742978</v>
      </c>
      <c r="H13" s="54">
        <f t="shared" si="0"/>
        <v>0</v>
      </c>
    </row>
    <row r="14" spans="2:8" ht="15.75">
      <c r="B14" s="35">
        <v>60312</v>
      </c>
      <c r="C14" s="33" t="s">
        <v>64</v>
      </c>
      <c r="D14" s="37" t="s">
        <v>29</v>
      </c>
      <c r="E14" s="52">
        <f>ОСВ!E36</f>
        <v>0</v>
      </c>
      <c r="F14" s="40">
        <f>SUMIF(Проводки!$E$25:$G$47,B14,Проводки!$G$25:$G$47)</f>
        <v>0</v>
      </c>
      <c r="G14" s="40">
        <f>SUMIF(Проводки!$H$25:$J$47,B14,Проводки!$J$25:$J$47)</f>
        <v>0</v>
      </c>
      <c r="H14" s="54">
        <f t="shared" si="0"/>
        <v>0</v>
      </c>
    </row>
    <row r="15" spans="2:8" ht="15.75">
      <c r="B15" s="35">
        <v>60401</v>
      </c>
      <c r="C15" s="33" t="s">
        <v>64</v>
      </c>
      <c r="D15" s="37" t="s">
        <v>32</v>
      </c>
      <c r="E15" s="52">
        <f>ОСВ!E37</f>
        <v>0</v>
      </c>
      <c r="F15" s="40">
        <f>SUMIF(Проводки!$E$25:$G$47,B15,Проводки!$G$25:$G$47)</f>
        <v>0</v>
      </c>
      <c r="G15" s="40">
        <f>SUMIF(Проводки!$H$25:$J$47,B15,Проводки!$J$25:$J$47)</f>
        <v>0</v>
      </c>
      <c r="H15" s="54">
        <f t="shared" si="0"/>
        <v>0</v>
      </c>
    </row>
    <row r="16" spans="2:8" ht="31.5">
      <c r="B16" s="35">
        <v>60415</v>
      </c>
      <c r="C16" s="63" t="s">
        <v>64</v>
      </c>
      <c r="D16" s="39" t="s">
        <v>30</v>
      </c>
      <c r="E16" s="52">
        <f>ОСВ!E38</f>
        <v>0</v>
      </c>
      <c r="F16" s="40">
        <f>SUMIF(Проводки!$E$25:$G$47,B16,Проводки!$G$25:$G$47)</f>
        <v>0</v>
      </c>
      <c r="G16" s="40">
        <f>SUMIF(Проводки!$H$25:$J$47,B16,Проводки!$J$25:$J$47)</f>
        <v>0</v>
      </c>
      <c r="H16" s="40">
        <f t="shared" si="0"/>
        <v>0</v>
      </c>
    </row>
    <row r="17" spans="2:8" ht="15.75">
      <c r="B17" s="35">
        <v>60804</v>
      </c>
      <c r="C17" s="33" t="s">
        <v>64</v>
      </c>
      <c r="D17" s="39" t="s">
        <v>67</v>
      </c>
      <c r="E17" s="52">
        <f>ОСВ!E39</f>
        <v>3359333.332261936</v>
      </c>
      <c r="F17" s="40">
        <f>SUMIF(Проводки!$E$25:$G$47,B17,Проводки!$G$25:$G$47)</f>
        <v>0</v>
      </c>
      <c r="G17" s="40">
        <f>SUMIF(Проводки!$H$25:$J$47,B17,Проводки!$J$25:$J$47)</f>
        <v>-3359333.332261936</v>
      </c>
      <c r="H17" s="54">
        <f t="shared" si="0"/>
        <v>0</v>
      </c>
    </row>
    <row r="18" spans="2:8" ht="15.75">
      <c r="B18" s="35">
        <v>60805</v>
      </c>
      <c r="C18" s="33" t="s">
        <v>62</v>
      </c>
      <c r="D18" s="39" t="s">
        <v>56</v>
      </c>
      <c r="E18" s="52">
        <f>ОСВ!E40</f>
        <v>-11038.335155296612</v>
      </c>
      <c r="F18" s="40">
        <f>SUMIF(Проводки!$E$25:$G$47,B18,Проводки!$G$25:$G$47)</f>
        <v>66230.01093177967</v>
      </c>
      <c r="G18" s="40">
        <f>SUMIF(Проводки!$H$25:$J$47,B18,Проводки!$J$25:$J$47)</f>
        <v>-55191.67577648306</v>
      </c>
      <c r="H18" s="54">
        <f t="shared" si="0"/>
        <v>0</v>
      </c>
    </row>
    <row r="19" spans="2:8" ht="15.75">
      <c r="B19" s="35">
        <v>60806</v>
      </c>
      <c r="C19" s="33" t="s">
        <v>62</v>
      </c>
      <c r="D19" s="39" t="s">
        <v>68</v>
      </c>
      <c r="E19" s="52">
        <f>ОСВ!E41</f>
        <v>-2680745.508072115</v>
      </c>
      <c r="F19" s="40">
        <f>SUMIF(Проводки!$E$25:$G$47,B19,Проводки!$G$25:$G$47)</f>
        <v>2720895.3897358566</v>
      </c>
      <c r="G19" s="40">
        <f>SUMIF(Проводки!$H$25:$J$47,B19,Проводки!$J$25:$J$47)</f>
        <v>-40149.88166374159</v>
      </c>
      <c r="H19" s="54">
        <f t="shared" si="0"/>
        <v>0</v>
      </c>
    </row>
    <row r="20" spans="2:8" s="82" customFormat="1" ht="15.75">
      <c r="B20" s="76">
        <v>61209</v>
      </c>
      <c r="C20" s="77" t="s">
        <v>64</v>
      </c>
      <c r="D20" s="78" t="s">
        <v>34</v>
      </c>
      <c r="E20" s="79" t="s">
        <v>109</v>
      </c>
      <c r="F20" s="80">
        <f>SUMIF(Проводки!$E$25:$G$47,B20,Проводки!$G$25:$G$47)</f>
        <v>3359333.332261936</v>
      </c>
      <c r="G20" s="80">
        <f>SUMIF(Проводки!$H$25:$J$47,B20,Проводки!$J$25:$J$47)</f>
        <v>-3359333.332261936</v>
      </c>
      <c r="H20" s="81">
        <f t="shared" si="0"/>
        <v>0</v>
      </c>
    </row>
    <row r="21" spans="2:8" ht="15.75">
      <c r="B21" s="35">
        <v>71101</v>
      </c>
      <c r="C21" s="55" t="s">
        <v>64</v>
      </c>
      <c r="D21" s="39" t="s">
        <v>70</v>
      </c>
      <c r="E21" s="52">
        <f>ОСВ!E42</f>
        <v>8022.345301704481</v>
      </c>
      <c r="F21" s="40">
        <f>SUMIF(Проводки!$E$25:$G$47,B21,Проводки!$G$25:$G$47)</f>
        <v>40149.88166374159</v>
      </c>
      <c r="G21" s="40">
        <f>SUMIF(Проводки!$H$25:$J$47,B21,Проводки!$J$25:$J$47)</f>
        <v>0</v>
      </c>
      <c r="H21" s="54">
        <f t="shared" si="0"/>
        <v>48172.22696544607</v>
      </c>
    </row>
    <row r="22" spans="2:8" ht="15.75">
      <c r="B22" s="50">
        <v>71702</v>
      </c>
      <c r="C22" s="55" t="s">
        <v>64</v>
      </c>
      <c r="D22" s="39" t="s">
        <v>80</v>
      </c>
      <c r="E22" s="52">
        <f>ОСВ!E43</f>
        <v>0</v>
      </c>
      <c r="F22" s="40">
        <f>SUMIF(Проводки!$E$25:$G$47,B22,Проводки!$G$25:$G$47)</f>
        <v>708431.0909686526</v>
      </c>
      <c r="G22" s="40">
        <f>SUMIF(Проводки!$H$25:$J$47,B22,Проводки!$J$25:$J$47)</f>
        <v>0</v>
      </c>
      <c r="H22" s="54">
        <f t="shared" si="0"/>
        <v>708431.0909686526</v>
      </c>
    </row>
    <row r="23" spans="2:8" ht="15.75">
      <c r="B23" s="50">
        <v>71802</v>
      </c>
      <c r="C23" s="55" t="s">
        <v>64</v>
      </c>
      <c r="D23" s="39" t="s">
        <v>77</v>
      </c>
      <c r="E23" s="52">
        <f>ОСВ!E44</f>
        <v>11038.335155296612</v>
      </c>
      <c r="F23" s="40">
        <f>SUMIF(Проводки!$E$25:$G$47,B23,Проводки!$G$25:$G$47)</f>
        <v>55191.67577648306</v>
      </c>
      <c r="G23" s="40">
        <f>SUMIF(Проводки!$H$25:$J$47,B23,Проводки!$J$25:$J$47)</f>
        <v>0</v>
      </c>
      <c r="H23" s="54">
        <f t="shared" si="0"/>
        <v>66230.01093177967</v>
      </c>
    </row>
    <row r="24" spans="2:8" ht="15.75">
      <c r="B24" s="56" t="s">
        <v>65</v>
      </c>
      <c r="C24" s="56"/>
      <c r="D24" s="62"/>
      <c r="E24" s="59">
        <f>SUM(E6:E23)</f>
        <v>0</v>
      </c>
      <c r="F24" s="59">
        <f>SUM(F6:F23)</f>
        <v>7157127.00246634</v>
      </c>
      <c r="G24" s="59">
        <f>SUM(G6:G23)</f>
        <v>-7157127.00246634</v>
      </c>
      <c r="H24" s="59">
        <f>SUM(H6:H23)</f>
        <v>-1.8917489796876907E-10</v>
      </c>
    </row>
  </sheetData>
  <sheetProtection/>
  <mergeCells count="6">
    <mergeCell ref="H3:H4"/>
    <mergeCell ref="B3:B4"/>
    <mergeCell ref="C3:C4"/>
    <mergeCell ref="D3:D4"/>
    <mergeCell ref="E3:E4"/>
    <mergeCell ref="F3:G3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Russian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Санников Г.А.</dc:creator>
  <cp:keywords/>
  <dc:description/>
  <cp:lastModifiedBy>Татьяна</cp:lastModifiedBy>
  <cp:lastPrinted>2016-09-02T08:22:06Z</cp:lastPrinted>
  <dcterms:created xsi:type="dcterms:W3CDTF">2016-08-26T13:40:34Z</dcterms:created>
  <dcterms:modified xsi:type="dcterms:W3CDTF">2016-10-17T08:30:14Z</dcterms:modified>
  <cp:category/>
  <cp:version/>
  <cp:contentType/>
  <cp:contentStatus/>
</cp:coreProperties>
</file>